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093AFDD0-BF74-4861-895F-6EE9B9924EC8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Record'!$A$518:$L$1273</definedName>
    <definedName name="_xlnm.Print_Area" localSheetId="0">'Salary Sheets'!$A$1:$Q$75</definedName>
    <definedName name="_xlnm.Print_Area" localSheetId="2">'Shahbaz Salaries'!$A$2:$G$22</definedName>
    <definedName name="_xlnm.Print_Titles" localSheetId="0">'Salary Sheets'!$3:$3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67" i="8" l="1"/>
  <c r="V227" i="8"/>
  <c r="V1189" i="8" l="1"/>
  <c r="V870" i="8"/>
  <c r="V275" i="8" l="1"/>
  <c r="K525" i="8" l="1"/>
  <c r="V1205" i="8" l="1"/>
  <c r="V52" i="1" l="1"/>
  <c r="K1228" i="8" l="1"/>
  <c r="V161" i="8" l="1"/>
  <c r="X227" i="8"/>
  <c r="K473" i="8" l="1"/>
  <c r="V869" i="8" l="1"/>
  <c r="V354" i="8" l="1"/>
  <c r="V465" i="8" l="1"/>
  <c r="H52" i="1" l="1"/>
  <c r="V448" i="8" l="1"/>
  <c r="V1187" i="8"/>
  <c r="V868" i="8"/>
  <c r="V1107" i="8"/>
  <c r="K346" i="8" l="1"/>
  <c r="P963" i="8" l="1"/>
  <c r="V447" i="8" l="1"/>
  <c r="V526" i="8"/>
  <c r="V352" i="8"/>
  <c r="K882" i="8" l="1"/>
  <c r="V446" i="8" l="1"/>
  <c r="V735" i="8" l="1"/>
  <c r="B58" i="1" l="1"/>
  <c r="V462" i="8"/>
  <c r="V866" i="8" l="1"/>
  <c r="V1137" i="8"/>
  <c r="V1105" i="8"/>
  <c r="V703" i="8"/>
  <c r="V158" i="8"/>
  <c r="K1052" i="8" l="1"/>
  <c r="K1036" i="8" l="1"/>
  <c r="K1020" i="8"/>
  <c r="K957" i="8"/>
  <c r="B57" i="1" l="1"/>
  <c r="K719" i="8" l="1"/>
  <c r="K718" i="8"/>
  <c r="R865" i="8" l="1"/>
  <c r="R866" i="8" s="1"/>
  <c r="R867" i="8" s="1"/>
  <c r="R868" i="8" s="1"/>
  <c r="R869" i="8" s="1"/>
  <c r="R871" i="8" s="1"/>
  <c r="R872" i="8" s="1"/>
  <c r="V445" i="8" l="1"/>
  <c r="V702" i="8"/>
  <c r="V1104" i="8"/>
  <c r="V1184" i="8"/>
  <c r="V865" i="8"/>
  <c r="V1103" i="8" l="1"/>
  <c r="V124" i="8"/>
  <c r="V1183" i="8"/>
  <c r="V444" i="8"/>
  <c r="V349" i="8" l="1"/>
  <c r="C47" i="8" l="1"/>
  <c r="C46" i="8"/>
  <c r="V443" i="8" l="1"/>
  <c r="K909" i="8"/>
  <c r="K861" i="8"/>
  <c r="K441" i="8"/>
  <c r="K425" i="8"/>
  <c r="K330" i="8"/>
  <c r="K218" i="8"/>
  <c r="V863" i="8" l="1"/>
  <c r="R474" i="8" l="1"/>
  <c r="R475" i="8" s="1"/>
  <c r="R476" i="8" s="1"/>
  <c r="R1053" i="8" l="1"/>
  <c r="R1054" i="8" s="1"/>
  <c r="V1101" i="8" l="1"/>
  <c r="V442" i="8" l="1"/>
  <c r="R1052" i="8" l="1"/>
  <c r="V441" i="8" l="1"/>
  <c r="R586" i="8" l="1"/>
  <c r="R1111" i="8" l="1"/>
  <c r="R1110" i="8"/>
  <c r="R1109" i="8"/>
  <c r="R1108" i="8"/>
  <c r="R1100" i="8"/>
  <c r="R1101" i="8" s="1"/>
  <c r="R1102" i="8" s="1"/>
  <c r="R1103" i="8" s="1"/>
  <c r="R1104" i="8" s="1"/>
  <c r="R920" i="8"/>
  <c r="R919" i="8"/>
  <c r="R918" i="8"/>
  <c r="R909" i="8"/>
  <c r="R910" i="8" s="1"/>
  <c r="R911" i="8" s="1"/>
  <c r="R912" i="8" s="1"/>
  <c r="R913" i="8" s="1"/>
  <c r="R914" i="8" s="1"/>
  <c r="R915" i="8" s="1"/>
  <c r="R916" i="8" s="1"/>
  <c r="R917" i="8" s="1"/>
  <c r="R888" i="8"/>
  <c r="R887" i="8"/>
  <c r="R886" i="8"/>
  <c r="R885" i="8"/>
  <c r="R884" i="8"/>
  <c r="R883" i="8"/>
  <c r="R709" i="8"/>
  <c r="R708" i="8"/>
  <c r="R698" i="8"/>
  <c r="R699" i="8" s="1"/>
  <c r="R700" i="8" s="1"/>
  <c r="R701" i="8" s="1"/>
  <c r="R702" i="8" s="1"/>
  <c r="R703" i="8" s="1"/>
  <c r="R704" i="8" s="1"/>
  <c r="R705" i="8" s="1"/>
  <c r="R706" i="8" s="1"/>
  <c r="R707" i="8" s="1"/>
  <c r="R693" i="8"/>
  <c r="R692" i="8"/>
  <c r="R682" i="8"/>
  <c r="R683" i="8" s="1"/>
  <c r="R684" i="8" s="1"/>
  <c r="R685" i="8" s="1"/>
  <c r="R686" i="8" s="1"/>
  <c r="R687" i="8" s="1"/>
  <c r="R688" i="8" s="1"/>
  <c r="R689" i="8" s="1"/>
  <c r="R690" i="8" s="1"/>
  <c r="R691" i="8" s="1"/>
  <c r="R661" i="8"/>
  <c r="R660" i="8"/>
  <c r="R650" i="8"/>
  <c r="R651" i="8" s="1"/>
  <c r="R652" i="8" s="1"/>
  <c r="R653" i="8" s="1"/>
  <c r="R654" i="8" s="1"/>
  <c r="R655" i="8" s="1"/>
  <c r="R656" i="8" s="1"/>
  <c r="R657" i="8" s="1"/>
  <c r="R658" i="8" s="1"/>
  <c r="R659" i="8" s="1"/>
  <c r="R629" i="8"/>
  <c r="R628" i="8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597" i="8"/>
  <c r="R596" i="8"/>
  <c r="R594" i="8"/>
  <c r="R595" i="8" s="1"/>
  <c r="R587" i="8"/>
  <c r="R588" i="8" s="1"/>
  <c r="R589" i="8" s="1"/>
  <c r="R590" i="8" s="1"/>
  <c r="R591" i="8" s="1"/>
  <c r="R468" i="8"/>
  <c r="R467" i="8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52" i="8"/>
  <c r="R451" i="8"/>
  <c r="R441" i="8"/>
  <c r="R442" i="8" s="1"/>
  <c r="R490" i="8"/>
  <c r="R491" i="8" s="1"/>
  <c r="R492" i="8" s="1"/>
  <c r="R493" i="8" s="1"/>
  <c r="R494" i="8" s="1"/>
  <c r="R495" i="8" s="1"/>
  <c r="R496" i="8" s="1"/>
  <c r="R497" i="8" s="1"/>
  <c r="R500" i="8"/>
  <c r="R499" i="8"/>
  <c r="R498" i="8"/>
  <c r="R436" i="8"/>
  <c r="R435" i="8"/>
  <c r="R425" i="8"/>
  <c r="R426" i="8" s="1"/>
  <c r="R427" i="8" s="1"/>
  <c r="R428" i="8" s="1"/>
  <c r="R429" i="8" s="1"/>
  <c r="R430" i="8" s="1"/>
  <c r="R431" i="8" s="1"/>
  <c r="R346" i="8"/>
  <c r="R347" i="8" s="1"/>
  <c r="R348" i="8" s="1"/>
  <c r="R349" i="8" s="1"/>
  <c r="R350" i="8" s="1"/>
  <c r="R351" i="8" s="1"/>
  <c r="R357" i="8"/>
  <c r="R356" i="8"/>
  <c r="R330" i="8"/>
  <c r="R331" i="8" s="1"/>
  <c r="R332" i="8" s="1"/>
  <c r="R333" i="8" s="1"/>
  <c r="R334" i="8" s="1"/>
  <c r="R335" i="8" s="1"/>
  <c r="R336" i="8" s="1"/>
  <c r="R337" i="8" s="1"/>
  <c r="R338" i="8" s="1"/>
  <c r="R339" i="8" s="1"/>
  <c r="R341" i="8"/>
  <c r="R340" i="8"/>
  <c r="R314" i="8"/>
  <c r="R315" i="8" s="1"/>
  <c r="R316" i="8" s="1"/>
  <c r="R317" i="8" s="1"/>
  <c r="R318" i="8" s="1"/>
  <c r="R319" i="8" s="1"/>
  <c r="R320" i="8" s="1"/>
  <c r="R321" i="8" s="1"/>
  <c r="R322" i="8" s="1"/>
  <c r="R323" i="8" s="1"/>
  <c r="R325" i="8"/>
  <c r="R324" i="8"/>
  <c r="R266" i="8"/>
  <c r="R267" i="8" s="1"/>
  <c r="R268" i="8" s="1"/>
  <c r="R269" i="8" s="1"/>
  <c r="R270" i="8" s="1"/>
  <c r="R271" i="8" s="1"/>
  <c r="R272" i="8" s="1"/>
  <c r="R273" i="8" s="1"/>
  <c r="R274" i="8" s="1"/>
  <c r="R275" i="8" s="1"/>
  <c r="R277" i="8"/>
  <c r="R276" i="8"/>
  <c r="R245" i="8"/>
  <c r="R244" i="8"/>
  <c r="R234" i="8"/>
  <c r="R235" i="8" s="1"/>
  <c r="R236" i="8" s="1"/>
  <c r="R237" i="8" s="1"/>
  <c r="R238" i="8" s="1"/>
  <c r="R239" i="8" s="1"/>
  <c r="R240" i="8" s="1"/>
  <c r="R241" i="8" s="1"/>
  <c r="R242" i="8" s="1"/>
  <c r="R243" i="8" s="1"/>
  <c r="R229" i="8"/>
  <c r="R228" i="8"/>
  <c r="R218" i="8"/>
  <c r="R219" i="8" s="1"/>
  <c r="R220" i="8" s="1"/>
  <c r="R221" i="8" s="1"/>
  <c r="R222" i="8" s="1"/>
  <c r="R223" i="8" s="1"/>
  <c r="R224" i="8" s="1"/>
  <c r="R225" i="8" s="1"/>
  <c r="R226" i="8" s="1"/>
  <c r="R227" i="8" s="1"/>
  <c r="R180" i="8"/>
  <c r="R179" i="8"/>
  <c r="R173" i="8"/>
  <c r="R174" i="8" s="1"/>
  <c r="R175" i="8" s="1"/>
  <c r="R176" i="8" s="1"/>
  <c r="R177" i="8" s="1"/>
  <c r="R178" i="8" s="1"/>
  <c r="R171" i="8"/>
  <c r="R169" i="8"/>
  <c r="R170" i="8" s="1"/>
  <c r="R153" i="8"/>
  <c r="W618" i="8" l="1"/>
  <c r="W441" i="8"/>
  <c r="P389" i="8" l="1"/>
  <c r="B93" i="1" l="1"/>
  <c r="R74" i="1" l="1"/>
  <c r="S53" i="1"/>
  <c r="R45" i="1"/>
  <c r="R25" i="1"/>
  <c r="S19" i="1"/>
  <c r="R19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3" i="1" l="1"/>
  <c r="N103" i="1"/>
  <c r="M103" i="1"/>
  <c r="L103" i="1"/>
  <c r="K103" i="1"/>
  <c r="J103" i="1"/>
  <c r="I103" i="1"/>
  <c r="H103" i="1"/>
  <c r="G103" i="1"/>
  <c r="F103" i="1"/>
  <c r="E103" i="1"/>
  <c r="B103" i="1"/>
  <c r="R1345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1004" i="8" l="1"/>
  <c r="R506" i="8" l="1"/>
  <c r="R516" i="8"/>
  <c r="R513" i="8"/>
  <c r="R512" i="8"/>
  <c r="R511" i="8"/>
  <c r="R508" i="8"/>
  <c r="R509" i="8" s="1"/>
  <c r="R1164" i="8"/>
  <c r="R1175" i="8"/>
  <c r="R1172" i="8"/>
  <c r="R1171" i="8"/>
  <c r="R1170" i="8"/>
  <c r="R1169" i="8"/>
  <c r="R1168" i="8"/>
  <c r="R1167" i="8"/>
  <c r="R1156" i="8"/>
  <c r="R1155" i="8"/>
  <c r="R1154" i="8"/>
  <c r="R1153" i="8"/>
  <c r="R1152" i="8"/>
  <c r="R1151" i="8"/>
  <c r="R1149" i="8"/>
  <c r="R1150" i="8" s="1"/>
  <c r="R613" i="8"/>
  <c r="R603" i="8"/>
  <c r="R604" i="8" s="1"/>
  <c r="R605" i="8" s="1"/>
  <c r="R606" i="8" s="1"/>
  <c r="R1191" i="8"/>
  <c r="R1188" i="8"/>
  <c r="R1180" i="8"/>
  <c r="R1181" i="8" s="1"/>
  <c r="R1183" i="8" s="1"/>
  <c r="R1184" i="8" s="1"/>
  <c r="R1356" i="8"/>
  <c r="R1353" i="8"/>
  <c r="R1352" i="8"/>
  <c r="R1346" i="8"/>
  <c r="R1347" i="8" s="1"/>
  <c r="R1348" i="8" s="1"/>
  <c r="R1349" i="8" s="1"/>
  <c r="R1350" i="8" s="1"/>
  <c r="R1351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1015" i="8"/>
  <c r="R1012" i="8"/>
  <c r="R1011" i="8"/>
  <c r="R1010" i="8"/>
  <c r="R1004" i="8"/>
  <c r="R1005" i="8" s="1"/>
  <c r="R1006" i="8" s="1"/>
  <c r="R1007" i="8" s="1"/>
  <c r="R1008" i="8" s="1"/>
  <c r="R1009" i="8" s="1"/>
  <c r="R1470" i="8"/>
  <c r="R1467" i="8"/>
  <c r="R1466" i="8"/>
  <c r="R1460" i="8"/>
  <c r="R1461" i="8" s="1"/>
  <c r="R1462" i="8" s="1"/>
  <c r="R1463" i="8" s="1"/>
  <c r="R1464" i="8" s="1"/>
  <c r="R1465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l="1"/>
  <c r="G9" i="10"/>
  <c r="G8" i="10"/>
  <c r="G10" i="10"/>
  <c r="X43" i="1" l="1"/>
  <c r="V563" i="8" l="1"/>
  <c r="F18" i="10" l="1"/>
  <c r="E18" i="10"/>
  <c r="G18" i="10" s="1"/>
  <c r="F17" i="10"/>
  <c r="E17" i="10"/>
  <c r="G17" i="10" s="1"/>
  <c r="E16" i="10"/>
  <c r="G16" i="10" s="1"/>
  <c r="G19" i="10" l="1"/>
  <c r="K367" i="8" l="1"/>
  <c r="V562" i="8" l="1"/>
  <c r="K639" i="8" l="1"/>
  <c r="J50" i="1" s="1"/>
  <c r="K978" i="8" l="1"/>
  <c r="W175" i="8" l="1"/>
  <c r="K1265" i="8" l="1"/>
  <c r="B102" i="1" l="1"/>
  <c r="B29" i="1" l="1"/>
  <c r="G898" i="8" l="1"/>
  <c r="C137" i="1" l="1"/>
  <c r="I44" i="8" l="1"/>
  <c r="I140" i="8"/>
  <c r="R11" i="1" l="1"/>
  <c r="R1229" i="8" l="1"/>
  <c r="R1230" i="8" s="1"/>
  <c r="E30" i="10" l="1"/>
  <c r="F31" i="10"/>
  <c r="F32" i="10"/>
  <c r="E32" i="10"/>
  <c r="G32" i="10" s="1"/>
  <c r="E31" i="10"/>
  <c r="F30" i="10"/>
  <c r="G31" i="10" l="1"/>
  <c r="G30" i="10"/>
  <c r="R253" i="8"/>
  <c r="B88" i="1"/>
  <c r="G33" i="10" l="1"/>
  <c r="R1069" i="8"/>
  <c r="R1070" i="8" s="1"/>
  <c r="V846" i="8" l="1"/>
  <c r="R202" i="8" l="1"/>
  <c r="R1196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100" i="8"/>
  <c r="Y1100" i="8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W941" i="8"/>
  <c r="Y941" i="8" s="1"/>
  <c r="U942" i="8" s="1"/>
  <c r="W942" i="8" s="1"/>
  <c r="Y942" i="8" s="1"/>
  <c r="W943" i="8" s="1"/>
  <c r="Y943" i="8" s="1"/>
  <c r="W925" i="8"/>
  <c r="Y925" i="8" s="1"/>
  <c r="U926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425" i="8"/>
  <c r="Y425" i="8" s="1"/>
  <c r="U426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Y618" i="8"/>
  <c r="U619" i="8" s="1"/>
  <c r="W1260" i="8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372" i="8"/>
  <c r="W372" i="8" s="1"/>
  <c r="Y372" i="8" s="1"/>
  <c r="U373" i="8" s="1"/>
  <c r="W373" i="8" s="1"/>
  <c r="Y373" i="8" s="1"/>
  <c r="W602" i="8"/>
  <c r="Y602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1196" i="8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W909" i="8"/>
  <c r="Y909" i="8" s="1"/>
  <c r="U910" i="8" s="1"/>
  <c r="W910" i="8" s="1"/>
  <c r="Y910" i="8" s="1"/>
  <c r="U911" i="8" s="1"/>
  <c r="W911" i="8" s="1"/>
  <c r="Y911" i="8" s="1"/>
  <c r="W1180" i="8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W314" i="8"/>
  <c r="Y314" i="8" s="1"/>
  <c r="U315" i="8" s="1"/>
  <c r="W730" i="8"/>
  <c r="Y730" i="8" s="1"/>
  <c r="W731" i="8" s="1"/>
  <c r="Y731" i="8" s="1"/>
  <c r="W732" i="8" s="1"/>
  <c r="Y732" i="8" s="1"/>
  <c r="W733" i="8" s="1"/>
  <c r="Y733" i="8" s="1"/>
  <c r="W734" i="8" s="1"/>
  <c r="Y734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1441" i="8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W1410" i="8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1345" i="8"/>
  <c r="Y1345" i="8" s="1"/>
  <c r="W1228" i="8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W1148" i="8"/>
  <c r="Y1148" i="8" s="1"/>
  <c r="U1149" i="8" s="1"/>
  <c r="W1149" i="8" s="1"/>
  <c r="Y1149" i="8" s="1"/>
  <c r="U1150" i="8" s="1"/>
  <c r="W1150" i="8" s="1"/>
  <c r="Y1150" i="8" s="1"/>
  <c r="W1328" i="8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44" i="8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2" i="8"/>
  <c r="Y682" i="8" s="1"/>
  <c r="U683" i="8" s="1"/>
  <c r="W650" i="8"/>
  <c r="Y650" i="8" s="1"/>
  <c r="U651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458" i="8" s="1"/>
  <c r="W1045" i="8" l="1"/>
  <c r="Y1045" i="8" s="1"/>
  <c r="W1046" i="8" s="1"/>
  <c r="Y1046" i="8" s="1"/>
  <c r="W1047" i="8" s="1"/>
  <c r="Y1047" i="8" s="1"/>
  <c r="U1044" i="8"/>
  <c r="W1044" i="8" s="1"/>
  <c r="Y1044" i="8" s="1"/>
  <c r="W1029" i="8"/>
  <c r="Y1029" i="8" s="1"/>
  <c r="U1030" i="8" s="1"/>
  <c r="W1030" i="8" s="1"/>
  <c r="Y1030" i="8" s="1"/>
  <c r="U1031" i="8" s="1"/>
  <c r="W1031" i="8" s="1"/>
  <c r="Y1031" i="8" s="1"/>
  <c r="U1028" i="8"/>
  <c r="W1028" i="8" s="1"/>
  <c r="Y1028" i="8" s="1"/>
  <c r="U735" i="8"/>
  <c r="W735" i="8" s="1"/>
  <c r="Y735" i="8" s="1"/>
  <c r="U1185" i="8"/>
  <c r="W1185" i="8" s="1"/>
  <c r="Y1185" i="8" s="1"/>
  <c r="U850" i="8"/>
  <c r="W850" i="8" s="1"/>
  <c r="Y850" i="8" s="1"/>
  <c r="U703" i="8"/>
  <c r="W703" i="8" s="1"/>
  <c r="Y703" i="8" s="1"/>
  <c r="U866" i="8"/>
  <c r="W866" i="8" s="1"/>
  <c r="Y866" i="8" s="1"/>
  <c r="U591" i="8"/>
  <c r="W591" i="8" s="1"/>
  <c r="Y591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912" i="8"/>
  <c r="W912" i="8" s="1"/>
  <c r="Y912" i="8" s="1"/>
  <c r="U1101" i="8"/>
  <c r="W1101" i="8" s="1"/>
  <c r="Y1101" i="8" s="1"/>
  <c r="U944" i="8"/>
  <c r="W944" i="8" s="1"/>
  <c r="Y944" i="8" s="1"/>
  <c r="U1151" i="8"/>
  <c r="W1151" i="8" s="1"/>
  <c r="Y1151" i="8" s="1"/>
  <c r="U1152" i="8" s="1"/>
  <c r="W1152" i="8" s="1"/>
  <c r="Y1152" i="8" s="1"/>
  <c r="W426" i="8"/>
  <c r="Y426" i="8" s="1"/>
  <c r="W651" i="8"/>
  <c r="Y651" i="8" s="1"/>
  <c r="W683" i="8"/>
  <c r="W926" i="8"/>
  <c r="Y926" i="8" s="1"/>
  <c r="U1346" i="8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W315" i="8"/>
  <c r="Y315" i="8" s="1"/>
  <c r="U316" i="8" s="1"/>
  <c r="W619" i="8"/>
  <c r="Y619" i="8" s="1"/>
  <c r="D137" i="1"/>
  <c r="W595" i="8" l="1"/>
  <c r="Y595" i="8" s="1"/>
  <c r="U596" i="8" s="1"/>
  <c r="W596" i="8" s="1"/>
  <c r="Y596" i="8" s="1"/>
  <c r="U597" i="8" s="1"/>
  <c r="W597" i="8" s="1"/>
  <c r="Y597" i="8" s="1"/>
  <c r="U592" i="8"/>
  <c r="W592" i="8" s="1"/>
  <c r="Y592" i="8" s="1"/>
  <c r="U593" i="8" s="1"/>
  <c r="W593" i="8" s="1"/>
  <c r="Y593" i="8" s="1"/>
  <c r="U594" i="8" s="1"/>
  <c r="W594" i="8" s="1"/>
  <c r="Y594" i="8" s="1"/>
  <c r="U736" i="8"/>
  <c r="W736" i="8" s="1"/>
  <c r="Y736" i="8" s="1"/>
  <c r="U1186" i="8"/>
  <c r="W1186" i="8" s="1"/>
  <c r="Y1186" i="8" s="1"/>
  <c r="U867" i="8"/>
  <c r="W867" i="8" s="1"/>
  <c r="Y867" i="8" s="1"/>
  <c r="U945" i="8"/>
  <c r="W945" i="8" s="1"/>
  <c r="Y945" i="8" s="1"/>
  <c r="U851" i="8"/>
  <c r="W851" i="8" s="1"/>
  <c r="Y851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913" i="8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U704" i="8"/>
  <c r="W704" i="8" s="1"/>
  <c r="Y704" i="8" s="1"/>
  <c r="U1350" i="8"/>
  <c r="W1350" i="8" s="1"/>
  <c r="Y1350" i="8" s="1"/>
  <c r="U652" i="8"/>
  <c r="W652" i="8" s="1"/>
  <c r="Y652" i="8" s="1"/>
  <c r="U1102" i="8"/>
  <c r="W1102" i="8" s="1"/>
  <c r="Y1102" i="8" s="1"/>
  <c r="U620" i="8"/>
  <c r="W620" i="8" s="1"/>
  <c r="Y620" i="8" s="1"/>
  <c r="U427" i="8"/>
  <c r="W427" i="8" s="1"/>
  <c r="Y427" i="8" s="1"/>
  <c r="U428" i="8" s="1"/>
  <c r="W428" i="8" s="1"/>
  <c r="Y428" i="8" s="1"/>
  <c r="U429" i="8" s="1"/>
  <c r="U927" i="8"/>
  <c r="W927" i="8" s="1"/>
  <c r="Y927" i="8" s="1"/>
  <c r="U459" i="8"/>
  <c r="W459" i="8" s="1"/>
  <c r="Y459" i="8" s="1"/>
  <c r="Y683" i="8"/>
  <c r="U684" i="8" s="1"/>
  <c r="W684" i="8" s="1"/>
  <c r="Y684" i="8" s="1"/>
  <c r="U1153" i="8"/>
  <c r="W1153" i="8" s="1"/>
  <c r="Y1153" i="8" s="1"/>
  <c r="W575" i="8"/>
  <c r="Y575" i="8" s="1"/>
  <c r="W316" i="8"/>
  <c r="Y316" i="8" s="1"/>
  <c r="U317" i="8" s="1"/>
  <c r="E48" i="10"/>
  <c r="F50" i="10"/>
  <c r="E50" i="10"/>
  <c r="F49" i="10"/>
  <c r="E49" i="10"/>
  <c r="F48" i="10"/>
  <c r="U737" i="8" l="1"/>
  <c r="W737" i="8" s="1"/>
  <c r="Y737" i="8" s="1"/>
  <c r="U868" i="8"/>
  <c r="W868" i="8" s="1"/>
  <c r="Y868" i="8" s="1"/>
  <c r="U1187" i="8"/>
  <c r="W1187" i="8" s="1"/>
  <c r="Y1187" i="8" s="1"/>
  <c r="U705" i="8"/>
  <c r="W705" i="8" s="1"/>
  <c r="Y705" i="8" s="1"/>
  <c r="U946" i="8"/>
  <c r="W946" i="8" s="1"/>
  <c r="Y946" i="8" s="1"/>
  <c r="U1351" i="8"/>
  <c r="W1351" i="8" s="1"/>
  <c r="Y1351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103" i="8"/>
  <c r="W1103" i="8" s="1"/>
  <c r="Y1103" i="8" s="1"/>
  <c r="U460" i="8"/>
  <c r="W460" i="8" s="1"/>
  <c r="Y460" i="8" s="1"/>
  <c r="U685" i="8"/>
  <c r="W685" i="8" s="1"/>
  <c r="Y685" i="8" s="1"/>
  <c r="U928" i="8"/>
  <c r="W928" i="8" s="1"/>
  <c r="Y928" i="8" s="1"/>
  <c r="U621" i="8"/>
  <c r="W621" i="8" s="1"/>
  <c r="Y621" i="8" s="1"/>
  <c r="U653" i="8"/>
  <c r="W653" i="8" s="1"/>
  <c r="Y653" i="8" s="1"/>
  <c r="U1154" i="8"/>
  <c r="W1154" i="8" s="1"/>
  <c r="Y1154" i="8" s="1"/>
  <c r="W576" i="8"/>
  <c r="Y576" i="8" s="1"/>
  <c r="W429" i="8"/>
  <c r="Y429" i="8" s="1"/>
  <c r="U430" i="8" s="1"/>
  <c r="W317" i="8"/>
  <c r="Y317" i="8" s="1"/>
  <c r="G50" i="10"/>
  <c r="G48" i="10"/>
  <c r="I52" i="10"/>
  <c r="G49" i="10"/>
  <c r="U738" i="8" l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869" i="8"/>
  <c r="W869" i="8" s="1"/>
  <c r="Y869" i="8" s="1"/>
  <c r="U706" i="8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1188" i="8"/>
  <c r="W1188" i="8" s="1"/>
  <c r="Y1188" i="8" s="1"/>
  <c r="U622" i="8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628" i="8" s="1"/>
  <c r="Y628" i="8" s="1"/>
  <c r="W629" i="8" s="1"/>
  <c r="Y629" i="8" s="1"/>
  <c r="U947" i="8"/>
  <c r="W947" i="8" s="1"/>
  <c r="Y947" i="8" s="1"/>
  <c r="U686" i="8"/>
  <c r="W686" i="8" s="1"/>
  <c r="Y686" i="8" s="1"/>
  <c r="U929" i="8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W936" i="8" s="1"/>
  <c r="Y936" i="8" s="1"/>
  <c r="U654" i="8"/>
  <c r="W654" i="8" s="1"/>
  <c r="Y654" i="8" s="1"/>
  <c r="U1104" i="8"/>
  <c r="W1104" i="8" s="1"/>
  <c r="Y1104" i="8" s="1"/>
  <c r="U318" i="8"/>
  <c r="W318" i="8" s="1"/>
  <c r="Y318" i="8" s="1"/>
  <c r="U461" i="8"/>
  <c r="W461" i="8" s="1"/>
  <c r="Y461" i="8" s="1"/>
  <c r="U1155" i="8"/>
  <c r="W1155" i="8" s="1"/>
  <c r="Y1155" i="8" s="1"/>
  <c r="W577" i="8"/>
  <c r="Y577" i="8" s="1"/>
  <c r="W430" i="8"/>
  <c r="Y430" i="8" s="1"/>
  <c r="U431" i="8" s="1"/>
  <c r="G51" i="10"/>
  <c r="G53" i="10" s="1"/>
  <c r="F57" i="10"/>
  <c r="U870" i="8" l="1"/>
  <c r="W870" i="8" s="1"/>
  <c r="Y870" i="8" s="1"/>
  <c r="W871" i="8" s="1"/>
  <c r="Y871" i="8" s="1"/>
  <c r="U872" i="8" s="1"/>
  <c r="W872" i="8" s="1"/>
  <c r="Y872" i="8" s="1"/>
  <c r="U1189" i="8"/>
  <c r="W1189" i="8" s="1"/>
  <c r="Y1189" i="8" s="1"/>
  <c r="W1190" i="8" s="1"/>
  <c r="Y1190" i="8" s="1"/>
  <c r="U1191" i="8" s="1"/>
  <c r="W1191" i="8" s="1"/>
  <c r="Y1191" i="8" s="1"/>
  <c r="U948" i="8"/>
  <c r="W948" i="8" s="1"/>
  <c r="Y948" i="8" s="1"/>
  <c r="U1105" i="8"/>
  <c r="W1105" i="8" s="1"/>
  <c r="Y1105" i="8" s="1"/>
  <c r="U655" i="8"/>
  <c r="W655" i="8" s="1"/>
  <c r="Y655" i="8" s="1"/>
  <c r="U687" i="8"/>
  <c r="W687" i="8" s="1"/>
  <c r="Y687" i="8" s="1"/>
  <c r="U462" i="8"/>
  <c r="W462" i="8" s="1"/>
  <c r="Y462" i="8" s="1"/>
  <c r="U319" i="8"/>
  <c r="W319" i="8" s="1"/>
  <c r="Y319" i="8" s="1"/>
  <c r="U1156" i="8"/>
  <c r="W1156" i="8" s="1"/>
  <c r="Y1156" i="8" s="1"/>
  <c r="W578" i="8"/>
  <c r="Y578" i="8" s="1"/>
  <c r="W431" i="8"/>
  <c r="Y431" i="8" s="1"/>
  <c r="U432" i="8" s="1"/>
  <c r="G63" i="10"/>
  <c r="F61" i="10"/>
  <c r="E61" i="10"/>
  <c r="F60" i="10"/>
  <c r="E60" i="10"/>
  <c r="F59" i="10"/>
  <c r="E59" i="10"/>
  <c r="F58" i="10"/>
  <c r="E58" i="10"/>
  <c r="E57" i="10"/>
  <c r="G57" i="10" s="1"/>
  <c r="U949" i="8" l="1"/>
  <c r="W949" i="8" s="1"/>
  <c r="Y949" i="8" s="1"/>
  <c r="U656" i="8"/>
  <c r="W656" i="8" s="1"/>
  <c r="Y656" i="8" s="1"/>
  <c r="W657" i="8" s="1"/>
  <c r="Y657" i="8" s="1"/>
  <c r="U463" i="8"/>
  <c r="W463" i="8" s="1"/>
  <c r="Y463" i="8" s="1"/>
  <c r="U320" i="8"/>
  <c r="W320" i="8" s="1"/>
  <c r="Y320" i="8" s="1"/>
  <c r="U688" i="8"/>
  <c r="W688" i="8" s="1"/>
  <c r="Y688" i="8" s="1"/>
  <c r="U1106" i="8"/>
  <c r="W1106" i="8" s="1"/>
  <c r="Y1106" i="8" s="1"/>
  <c r="U1157" i="8"/>
  <c r="W1157" i="8" s="1"/>
  <c r="Y1157" i="8" s="1"/>
  <c r="W579" i="8"/>
  <c r="Y579" i="8" s="1"/>
  <c r="W432" i="8"/>
  <c r="Y432" i="8" s="1"/>
  <c r="U433" i="8" s="1"/>
  <c r="G58" i="10"/>
  <c r="G60" i="10"/>
  <c r="G61" i="10"/>
  <c r="I63" i="10"/>
  <c r="G59" i="10"/>
  <c r="U950" i="8" l="1"/>
  <c r="W950" i="8" s="1"/>
  <c r="Y950" i="8" s="1"/>
  <c r="W951" i="8" s="1"/>
  <c r="Y951" i="8" s="1"/>
  <c r="W952" i="8" s="1"/>
  <c r="Y952" i="8" s="1"/>
  <c r="U658" i="8"/>
  <c r="W658" i="8" s="1"/>
  <c r="Y658" i="8" s="1"/>
  <c r="W659" i="8" s="1"/>
  <c r="Y659" i="8" s="1"/>
  <c r="W660" i="8" s="1"/>
  <c r="Y660" i="8" s="1"/>
  <c r="W661" i="8" s="1"/>
  <c r="Y661" i="8" s="1"/>
  <c r="U1107" i="8"/>
  <c r="W1107" i="8" s="1"/>
  <c r="Y1107" i="8" s="1"/>
  <c r="U689" i="8"/>
  <c r="W689" i="8" s="1"/>
  <c r="Y689" i="8" s="1"/>
  <c r="U464" i="8"/>
  <c r="W464" i="8" s="1"/>
  <c r="Y464" i="8" s="1"/>
  <c r="U321" i="8"/>
  <c r="W321" i="8" s="1"/>
  <c r="Y321" i="8" s="1"/>
  <c r="U1158" i="8"/>
  <c r="W1158" i="8" s="1"/>
  <c r="Y1158" i="8" s="1"/>
  <c r="W580" i="8"/>
  <c r="Y580" i="8" s="1"/>
  <c r="W433" i="8"/>
  <c r="Y433" i="8" s="1"/>
  <c r="U434" i="8" s="1"/>
  <c r="G62" i="10"/>
  <c r="G64" i="10" s="1"/>
  <c r="H43" i="1"/>
  <c r="E43" i="1"/>
  <c r="B43" i="1"/>
  <c r="U465" i="8" l="1"/>
  <c r="W465" i="8" s="1"/>
  <c r="Y465" i="8" s="1"/>
  <c r="U322" i="8"/>
  <c r="W322" i="8" s="1"/>
  <c r="Y322" i="8" s="1"/>
  <c r="W690" i="8"/>
  <c r="Y690" i="8" s="1"/>
  <c r="U690" i="8"/>
  <c r="U1108" i="8"/>
  <c r="W1108" i="8" s="1"/>
  <c r="Y1108" i="8" s="1"/>
  <c r="W581" i="8"/>
  <c r="Y581" i="8" s="1"/>
  <c r="U1159" i="8"/>
  <c r="W1159" i="8" s="1"/>
  <c r="Y1159" i="8" s="1"/>
  <c r="W434" i="8"/>
  <c r="Y434" i="8" s="1"/>
  <c r="B114" i="1"/>
  <c r="E114" i="1"/>
  <c r="H114" i="1"/>
  <c r="U323" i="8" l="1"/>
  <c r="W323" i="8" s="1"/>
  <c r="Y323" i="8" s="1"/>
  <c r="W324" i="8" s="1"/>
  <c r="Y324" i="8" s="1"/>
  <c r="W325" i="8" s="1"/>
  <c r="Y325" i="8" s="1"/>
  <c r="U1109" i="8"/>
  <c r="W1109" i="8" s="1"/>
  <c r="Y1109" i="8" s="1"/>
  <c r="W1110" i="8" s="1"/>
  <c r="Y1110" i="8" s="1"/>
  <c r="U1111" i="8" s="1"/>
  <c r="W1111" i="8" s="1"/>
  <c r="Y1111" i="8" s="1"/>
  <c r="U691" i="8"/>
  <c r="W691" i="8" s="1"/>
  <c r="Y691" i="8" s="1"/>
  <c r="W692" i="8" s="1"/>
  <c r="Y692" i="8" s="1"/>
  <c r="W693" i="8" s="1"/>
  <c r="Y693" i="8" s="1"/>
  <c r="U466" i="8"/>
  <c r="W466" i="8" s="1"/>
  <c r="Y466" i="8" s="1"/>
  <c r="Y467" i="8" s="1"/>
  <c r="W468" i="8" s="1"/>
  <c r="Y468" i="8" s="1"/>
  <c r="W435" i="8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591" i="8" l="1"/>
  <c r="B95" i="1" l="1"/>
  <c r="K121" i="8" l="1"/>
  <c r="R1236" i="8" l="1"/>
  <c r="R1238" i="8" s="1"/>
  <c r="R1239" i="8" s="1"/>
  <c r="W136" i="8" l="1"/>
  <c r="Y136" i="8" s="1"/>
  <c r="U137" i="8" s="1"/>
  <c r="W541" i="8" l="1"/>
  <c r="K255" i="8" l="1"/>
  <c r="W206" i="8" l="1"/>
  <c r="R395" i="8"/>
  <c r="K845" i="8" l="1"/>
  <c r="M86" i="1" l="1"/>
  <c r="B111" i="1" l="1"/>
  <c r="K1201" i="8" l="1"/>
  <c r="W538" i="8" l="1"/>
  <c r="W973" i="8" l="1"/>
  <c r="W537" i="8" l="1"/>
  <c r="R1116" i="8" l="1"/>
  <c r="B49" i="1" l="1"/>
  <c r="R203" i="8" l="1"/>
  <c r="R204" i="8" s="1"/>
  <c r="R205" i="8" s="1"/>
  <c r="R206" i="8" s="1"/>
  <c r="R207" i="8" s="1"/>
  <c r="R208" i="8" s="1"/>
  <c r="R845" i="8" l="1"/>
  <c r="R730" i="8"/>
  <c r="R731" i="8" s="1"/>
  <c r="R732" i="8" s="1"/>
  <c r="B73" i="1" l="1"/>
  <c r="G1107" i="8" l="1"/>
  <c r="K1107" i="8" s="1"/>
  <c r="C1107" i="8"/>
  <c r="G65" i="1" s="1"/>
  <c r="C1106" i="8"/>
  <c r="K1105" i="8"/>
  <c r="J65" i="1" s="1"/>
  <c r="G1105" i="8"/>
  <c r="M65" i="1" s="1"/>
  <c r="H1099" i="8"/>
  <c r="G1099" i="8"/>
  <c r="C1140" i="8"/>
  <c r="G1139" i="8"/>
  <c r="K1139" i="8" s="1"/>
  <c r="C1139" i="8"/>
  <c r="G83" i="1" s="1"/>
  <c r="C1138" i="8"/>
  <c r="F83" i="1" s="1"/>
  <c r="K1137" i="8"/>
  <c r="J83" i="1" s="1"/>
  <c r="G1137" i="8"/>
  <c r="M83" i="1" s="1"/>
  <c r="W1132" i="8"/>
  <c r="Y1132" i="8" s="1"/>
  <c r="H1131" i="8"/>
  <c r="G1131" i="8"/>
  <c r="G94" i="1"/>
  <c r="J94" i="1"/>
  <c r="M94" i="1"/>
  <c r="R1045" i="8"/>
  <c r="C1044" i="8" s="1"/>
  <c r="G1043" i="8"/>
  <c r="K1043" i="8" s="1"/>
  <c r="C1043" i="8"/>
  <c r="G22" i="1" s="1"/>
  <c r="C1042" i="8"/>
  <c r="F22" i="1" s="1"/>
  <c r="K1041" i="8"/>
  <c r="J22" i="1" s="1"/>
  <c r="G1041" i="8"/>
  <c r="M22" i="1" s="1"/>
  <c r="H1035" i="8"/>
  <c r="G1035" i="8"/>
  <c r="C949" i="8"/>
  <c r="G948" i="8"/>
  <c r="C948" i="8"/>
  <c r="G28" i="1" s="1"/>
  <c r="C947" i="8"/>
  <c r="F28" i="1" s="1"/>
  <c r="K946" i="8"/>
  <c r="J28" i="1" s="1"/>
  <c r="G946" i="8"/>
  <c r="M28" i="1" s="1"/>
  <c r="H940" i="8"/>
  <c r="G940" i="8"/>
  <c r="U645" i="8"/>
  <c r="W645" i="8" s="1"/>
  <c r="Y645" i="8" s="1"/>
  <c r="R645" i="8"/>
  <c r="R643" i="8"/>
  <c r="G641" i="8"/>
  <c r="C641" i="8"/>
  <c r="G50" i="1" s="1"/>
  <c r="C640" i="8"/>
  <c r="F50" i="1" s="1"/>
  <c r="G639" i="8"/>
  <c r="M50" i="1" s="1"/>
  <c r="W634" i="8"/>
  <c r="Y634" i="8" s="1"/>
  <c r="H633" i="8"/>
  <c r="G633" i="8"/>
  <c r="G480" i="8"/>
  <c r="C480" i="8"/>
  <c r="G59" i="1" s="1"/>
  <c r="C479" i="8"/>
  <c r="F59" i="1" s="1"/>
  <c r="K478" i="8"/>
  <c r="J59" i="1" s="1"/>
  <c r="G478" i="8"/>
  <c r="M59" i="1" s="1"/>
  <c r="W473" i="8"/>
  <c r="Y473" i="8" s="1"/>
  <c r="U474" i="8" s="1"/>
  <c r="W474" i="8" s="1"/>
  <c r="Y474" i="8" s="1"/>
  <c r="U475" i="8" s="1"/>
  <c r="H472" i="8"/>
  <c r="G472" i="8"/>
  <c r="G932" i="8"/>
  <c r="C932" i="8"/>
  <c r="G111" i="1" s="1"/>
  <c r="C931" i="8"/>
  <c r="K930" i="8"/>
  <c r="J111" i="1" s="1"/>
  <c r="G930" i="8"/>
  <c r="M111" i="1" s="1"/>
  <c r="H924" i="8"/>
  <c r="G924" i="8"/>
  <c r="C1028" i="8"/>
  <c r="G1027" i="8"/>
  <c r="C1027" i="8"/>
  <c r="G23" i="1" s="1"/>
  <c r="C1026" i="8"/>
  <c r="F23" i="1" s="1"/>
  <c r="K1025" i="8"/>
  <c r="J23" i="1" s="1"/>
  <c r="G1025" i="8"/>
  <c r="M23" i="1" s="1"/>
  <c r="H1019" i="8"/>
  <c r="G1019" i="8"/>
  <c r="U1223" i="8"/>
  <c r="W1223" i="8" s="1"/>
  <c r="Y1223" i="8" s="1"/>
  <c r="R1223" i="8"/>
  <c r="G1219" i="8"/>
  <c r="C1219" i="8"/>
  <c r="G16" i="1" s="1"/>
  <c r="C1218" i="8"/>
  <c r="F16" i="1" s="1"/>
  <c r="K1217" i="8"/>
  <c r="J16" i="1" s="1"/>
  <c r="G1217" i="8"/>
  <c r="M16" i="1" s="1"/>
  <c r="W1212" i="8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H1211" i="8"/>
  <c r="G1211" i="8"/>
  <c r="R901" i="8"/>
  <c r="G900" i="8"/>
  <c r="C900" i="8"/>
  <c r="G96" i="1" s="1"/>
  <c r="C899" i="8"/>
  <c r="F96" i="1" s="1"/>
  <c r="K898" i="8"/>
  <c r="J96" i="1" s="1"/>
  <c r="M96" i="1"/>
  <c r="H892" i="8"/>
  <c r="G892" i="8"/>
  <c r="G432" i="8"/>
  <c r="K432" i="8" s="1"/>
  <c r="C432" i="8"/>
  <c r="G41" i="1" s="1"/>
  <c r="C431" i="8"/>
  <c r="F41" i="1" s="1"/>
  <c r="K430" i="8"/>
  <c r="J41" i="1" s="1"/>
  <c r="G430" i="8"/>
  <c r="M41" i="1" s="1"/>
  <c r="C433" i="8"/>
  <c r="I429" i="8" s="1"/>
  <c r="H424" i="8"/>
  <c r="G424" i="8"/>
  <c r="C885" i="8"/>
  <c r="G884" i="8"/>
  <c r="C884" i="8"/>
  <c r="G85" i="1" s="1"/>
  <c r="C883" i="8"/>
  <c r="J85" i="1"/>
  <c r="G882" i="8"/>
  <c r="M85" i="1" s="1"/>
  <c r="H876" i="8"/>
  <c r="G876" i="8"/>
  <c r="G868" i="8"/>
  <c r="O43" i="1" s="1"/>
  <c r="C868" i="8"/>
  <c r="G43" i="1" s="1"/>
  <c r="C867" i="8"/>
  <c r="F43" i="1" s="1"/>
  <c r="K866" i="8"/>
  <c r="G866" i="8"/>
  <c r="M43" i="1" s="1"/>
  <c r="H860" i="8"/>
  <c r="G860" i="8"/>
  <c r="G852" i="8"/>
  <c r="K852" i="8" s="1"/>
  <c r="C852" i="8"/>
  <c r="G112" i="1" s="1"/>
  <c r="C851" i="8"/>
  <c r="F112" i="1" s="1"/>
  <c r="K850" i="8"/>
  <c r="J112" i="1" s="1"/>
  <c r="G850" i="8"/>
  <c r="M112" i="1" s="1"/>
  <c r="R846" i="8"/>
  <c r="R847" i="8" s="1"/>
  <c r="R848" i="8" s="1"/>
  <c r="R849" i="8" s="1"/>
  <c r="R850" i="8" s="1"/>
  <c r="R851" i="8" s="1"/>
  <c r="R852" i="8" s="1"/>
  <c r="R853" i="8" s="1"/>
  <c r="H844" i="8"/>
  <c r="G844" i="8"/>
  <c r="G625" i="8"/>
  <c r="O49" i="1" s="1"/>
  <c r="C625" i="8"/>
  <c r="G49" i="1" s="1"/>
  <c r="C624" i="8"/>
  <c r="C626" i="8"/>
  <c r="I622" i="8" s="1"/>
  <c r="K623" i="8"/>
  <c r="J49" i="1" s="1"/>
  <c r="G623" i="8"/>
  <c r="M49" i="1" s="1"/>
  <c r="H617" i="8"/>
  <c r="G617" i="8"/>
  <c r="R1271" i="8"/>
  <c r="G1267" i="8"/>
  <c r="K1267" i="8" s="1"/>
  <c r="C1267" i="8"/>
  <c r="G42" i="1" s="1"/>
  <c r="C1266" i="8"/>
  <c r="R1265" i="8"/>
  <c r="C1268" i="8" s="1"/>
  <c r="J42" i="1"/>
  <c r="G1265" i="8"/>
  <c r="M42" i="1" s="1"/>
  <c r="H1259" i="8"/>
  <c r="G1259" i="8"/>
  <c r="G369" i="8"/>
  <c r="C369" i="8"/>
  <c r="G109" i="1" s="1"/>
  <c r="C368" i="8"/>
  <c r="J109" i="1"/>
  <c r="G367" i="8"/>
  <c r="M109" i="1" s="1"/>
  <c r="C370" i="8"/>
  <c r="H361" i="8"/>
  <c r="G361" i="8"/>
  <c r="G609" i="8"/>
  <c r="K609" i="8" s="1"/>
  <c r="C609" i="8"/>
  <c r="G48" i="1" s="1"/>
  <c r="C608" i="8"/>
  <c r="F48" i="1" s="1"/>
  <c r="K607" i="8"/>
  <c r="G607" i="8"/>
  <c r="M48" i="1" s="1"/>
  <c r="H601" i="8"/>
  <c r="G601" i="8"/>
  <c r="U836" i="8"/>
  <c r="W836" i="8" s="1"/>
  <c r="R836" i="8"/>
  <c r="R835" i="8"/>
  <c r="R834" i="8"/>
  <c r="U833" i="8"/>
  <c r="W833" i="8" s="1"/>
  <c r="Y833" i="8" s="1"/>
  <c r="U834" i="8" s="1"/>
  <c r="W834" i="8" s="1"/>
  <c r="Y834" i="8" s="1"/>
  <c r="U835" i="8" s="1"/>
  <c r="W835" i="8" s="1"/>
  <c r="Y835" i="8" s="1"/>
  <c r="R833" i="8"/>
  <c r="R832" i="8"/>
  <c r="G832" i="8"/>
  <c r="K832" i="8" s="1"/>
  <c r="C832" i="8"/>
  <c r="R831" i="8"/>
  <c r="C831" i="8"/>
  <c r="R830" i="8"/>
  <c r="K830" i="8"/>
  <c r="G830" i="8"/>
  <c r="R829" i="8"/>
  <c r="K829" i="8"/>
  <c r="R828" i="8"/>
  <c r="R827" i="8"/>
  <c r="R826" i="8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H824" i="8"/>
  <c r="G824" i="8"/>
  <c r="U820" i="8"/>
  <c r="W820" i="8" s="1"/>
  <c r="Y820" i="8" s="1"/>
  <c r="R819" i="8"/>
  <c r="U817" i="8"/>
  <c r="W817" i="8" s="1"/>
  <c r="Y817" i="8" s="1"/>
  <c r="U818" i="8" s="1"/>
  <c r="W818" i="8" s="1"/>
  <c r="Y818" i="8" s="1"/>
  <c r="U819" i="8" s="1"/>
  <c r="R816" i="8"/>
  <c r="G816" i="8"/>
  <c r="K816" i="8" s="1"/>
  <c r="C816" i="8"/>
  <c r="C815" i="8"/>
  <c r="K814" i="8"/>
  <c r="G814" i="8"/>
  <c r="R811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R995" i="8"/>
  <c r="R996" i="8" s="1"/>
  <c r="G995" i="8"/>
  <c r="K995" i="8" s="1"/>
  <c r="C995" i="8"/>
  <c r="G79" i="1" s="1"/>
  <c r="C994" i="8"/>
  <c r="F79" i="1" s="1"/>
  <c r="K993" i="8"/>
  <c r="J79" i="1" s="1"/>
  <c r="G993" i="8"/>
  <c r="M79" i="1" s="1"/>
  <c r="R989" i="8"/>
  <c r="R990" i="8" s="1"/>
  <c r="H987" i="8"/>
  <c r="G987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3" i="8"/>
  <c r="K1203" i="8" s="1"/>
  <c r="C1203" i="8"/>
  <c r="G64" i="1" s="1"/>
  <c r="C1202" i="8"/>
  <c r="F64" i="1" s="1"/>
  <c r="G1201" i="8"/>
  <c r="M64" i="1" s="1"/>
  <c r="R1197" i="8"/>
  <c r="R1198" i="8" s="1"/>
  <c r="R1200" i="8" s="1"/>
  <c r="R1201" i="8" s="1"/>
  <c r="R1207" i="8" s="1"/>
  <c r="H1195" i="8"/>
  <c r="G1195" i="8"/>
  <c r="G916" i="8"/>
  <c r="C916" i="8"/>
  <c r="G40" i="1" s="1"/>
  <c r="C915" i="8"/>
  <c r="F40" i="1" s="1"/>
  <c r="K914" i="8"/>
  <c r="J40" i="1" s="1"/>
  <c r="G914" i="8"/>
  <c r="M40" i="1" s="1"/>
  <c r="H908" i="8"/>
  <c r="G908" i="8"/>
  <c r="R789" i="8"/>
  <c r="R788" i="8"/>
  <c r="R787" i="8"/>
  <c r="R786" i="8"/>
  <c r="R785" i="8"/>
  <c r="G785" i="8"/>
  <c r="K785" i="8" s="1"/>
  <c r="C785" i="8"/>
  <c r="R784" i="8"/>
  <c r="C784" i="8"/>
  <c r="R783" i="8"/>
  <c r="K783" i="8"/>
  <c r="G783" i="8"/>
  <c r="R782" i="8"/>
  <c r="K782" i="8"/>
  <c r="R781" i="8"/>
  <c r="W780" i="8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W787" i="8" s="1"/>
  <c r="Y787" i="8" s="1"/>
  <c r="R780" i="8"/>
  <c r="W779" i="8"/>
  <c r="Y779" i="8" s="1"/>
  <c r="R779" i="8"/>
  <c r="W778" i="8"/>
  <c r="Y778" i="8" s="1"/>
  <c r="H777" i="8"/>
  <c r="G777" i="8"/>
  <c r="U773" i="8"/>
  <c r="W773" i="8" s="1"/>
  <c r="Y773" i="8" s="1"/>
  <c r="R773" i="8"/>
  <c r="R772" i="8"/>
  <c r="R771" i="8"/>
  <c r="U770" i="8"/>
  <c r="W770" i="8" s="1"/>
  <c r="Y770" i="8" s="1"/>
  <c r="U771" i="8" s="1"/>
  <c r="W771" i="8" s="1"/>
  <c r="Y771" i="8" s="1"/>
  <c r="U772" i="8" s="1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H761" i="8"/>
  <c r="G761" i="8"/>
  <c r="G1187" i="8"/>
  <c r="C1187" i="8"/>
  <c r="G37" i="1" s="1"/>
  <c r="C1186" i="8"/>
  <c r="K1185" i="8"/>
  <c r="J37" i="1" s="1"/>
  <c r="G1185" i="8"/>
  <c r="M37" i="1" s="1"/>
  <c r="H1179" i="8"/>
  <c r="G1179" i="8"/>
  <c r="R754" i="8"/>
  <c r="G753" i="8"/>
  <c r="K753" i="8" s="1"/>
  <c r="C753" i="8"/>
  <c r="C752" i="8"/>
  <c r="R751" i="8"/>
  <c r="K751" i="8"/>
  <c r="G751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H745" i="8"/>
  <c r="G745" i="8"/>
  <c r="G321" i="8"/>
  <c r="K321" i="8" s="1"/>
  <c r="C321" i="8"/>
  <c r="G39" i="1" s="1"/>
  <c r="C320" i="8"/>
  <c r="F39" i="1" s="1"/>
  <c r="K319" i="8"/>
  <c r="J39" i="1" s="1"/>
  <c r="G319" i="8"/>
  <c r="M39" i="1" s="1"/>
  <c r="H313" i="8"/>
  <c r="G313" i="8"/>
  <c r="G737" i="8"/>
  <c r="K737" i="8" s="1"/>
  <c r="C737" i="8"/>
  <c r="G57" i="1" s="1"/>
  <c r="R736" i="8"/>
  <c r="C736" i="8"/>
  <c r="K735" i="8"/>
  <c r="J57" i="1" s="1"/>
  <c r="G735" i="8"/>
  <c r="M57" i="1" s="1"/>
  <c r="C738" i="8"/>
  <c r="H729" i="8"/>
  <c r="G729" i="8"/>
  <c r="R723" i="8"/>
  <c r="R724" i="8" s="1"/>
  <c r="R725" i="8" s="1"/>
  <c r="G721" i="8"/>
  <c r="K721" i="8" s="1"/>
  <c r="C721" i="8"/>
  <c r="C720" i="8"/>
  <c r="G719" i="8"/>
  <c r="R717" i="8"/>
  <c r="R716" i="8"/>
  <c r="H713" i="8"/>
  <c r="G713" i="8"/>
  <c r="G705" i="8"/>
  <c r="O66" i="1" s="1"/>
  <c r="C705" i="8"/>
  <c r="G66" i="1" s="1"/>
  <c r="C704" i="8"/>
  <c r="K703" i="8"/>
  <c r="J66" i="1" s="1"/>
  <c r="G703" i="8"/>
  <c r="M66" i="1" s="1"/>
  <c r="H697" i="8"/>
  <c r="G697" i="8"/>
  <c r="R1449" i="8"/>
  <c r="G1448" i="8"/>
  <c r="C1448" i="8"/>
  <c r="G99" i="1" s="1"/>
  <c r="C1447" i="8"/>
  <c r="F99" i="1" s="1"/>
  <c r="R1446" i="8"/>
  <c r="K1446" i="8"/>
  <c r="J99" i="1" s="1"/>
  <c r="G1446" i="8"/>
  <c r="M99" i="1" s="1"/>
  <c r="R1445" i="8"/>
  <c r="R1444" i="8"/>
  <c r="H1440" i="8"/>
  <c r="G1440" i="8"/>
  <c r="U1436" i="8"/>
  <c r="W1436" i="8" s="1"/>
  <c r="Y1436" i="8" s="1"/>
  <c r="R1436" i="8"/>
  <c r="R1435" i="8"/>
  <c r="R1434" i="8"/>
  <c r="U1433" i="8"/>
  <c r="W1433" i="8" s="1"/>
  <c r="Y1433" i="8" s="1"/>
  <c r="U1434" i="8" s="1"/>
  <c r="W1434" i="8" s="1"/>
  <c r="Y1434" i="8" s="1"/>
  <c r="U1435" i="8" s="1"/>
  <c r="R1433" i="8"/>
  <c r="R1432" i="8"/>
  <c r="G1432" i="8"/>
  <c r="O113" i="1" s="1"/>
  <c r="C1432" i="8"/>
  <c r="G113" i="1" s="1"/>
  <c r="R1431" i="8"/>
  <c r="C1431" i="8"/>
  <c r="F113" i="1" s="1"/>
  <c r="R1430" i="8"/>
  <c r="K1430" i="8"/>
  <c r="J113" i="1" s="1"/>
  <c r="G1430" i="8"/>
  <c r="M113" i="1" s="1"/>
  <c r="R1429" i="8"/>
  <c r="K1429" i="8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H1424" i="8"/>
  <c r="G1424" i="8"/>
  <c r="R1421" i="8"/>
  <c r="R1420" i="8"/>
  <c r="R1419" i="8"/>
  <c r="R1418" i="8"/>
  <c r="G1417" i="8"/>
  <c r="K1417" i="8" s="1"/>
  <c r="C1417" i="8"/>
  <c r="G105" i="1" s="1"/>
  <c r="C1416" i="8"/>
  <c r="F105" i="1" s="1"/>
  <c r="K1415" i="8"/>
  <c r="J105" i="1" s="1"/>
  <c r="G1415" i="8"/>
  <c r="M105" i="1" s="1"/>
  <c r="R1410" i="8"/>
  <c r="R1411" i="8" s="1"/>
  <c r="R1412" i="8" s="1"/>
  <c r="R1413" i="8" s="1"/>
  <c r="R1414" i="8" s="1"/>
  <c r="R1415" i="8" s="1"/>
  <c r="R1416" i="8" s="1"/>
  <c r="H1409" i="8"/>
  <c r="G1409" i="8"/>
  <c r="U1405" i="8"/>
  <c r="W1405" i="8" s="1"/>
  <c r="Y1405" i="8" s="1"/>
  <c r="R1404" i="8"/>
  <c r="R1403" i="8"/>
  <c r="G1401" i="8"/>
  <c r="C1401" i="8"/>
  <c r="C1400" i="8"/>
  <c r="K1399" i="8"/>
  <c r="G1399" i="8"/>
  <c r="R1397" i="8"/>
  <c r="R1396" i="8"/>
  <c r="R1395" i="8"/>
  <c r="W1394" i="8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H1393" i="8"/>
  <c r="G1393" i="8"/>
  <c r="G1091" i="8"/>
  <c r="K1091" i="8" s="1"/>
  <c r="C1091" i="8"/>
  <c r="G30" i="1" s="1"/>
  <c r="C1090" i="8"/>
  <c r="F30" i="1" s="1"/>
  <c r="K1089" i="8"/>
  <c r="J30" i="1" s="1"/>
  <c r="G1089" i="8"/>
  <c r="M30" i="1" s="1"/>
  <c r="H1083" i="8"/>
  <c r="G1083" i="8"/>
  <c r="R1373" i="8"/>
  <c r="R1372" i="8"/>
  <c r="R1371" i="8"/>
  <c r="R1370" i="8"/>
  <c r="R1369" i="8"/>
  <c r="G1369" i="8"/>
  <c r="K1369" i="8" s="1"/>
  <c r="C1369" i="8"/>
  <c r="G95" i="1" s="1"/>
  <c r="R1368" i="8"/>
  <c r="C1368" i="8"/>
  <c r="F95" i="1" s="1"/>
  <c r="R1367" i="8"/>
  <c r="K1367" i="8"/>
  <c r="J95" i="1" s="1"/>
  <c r="G1367" i="8"/>
  <c r="M95" i="1" s="1"/>
  <c r="R1366" i="8"/>
  <c r="R1365" i="8"/>
  <c r="R1364" i="8"/>
  <c r="R1363" i="8"/>
  <c r="W1362" i="8"/>
  <c r="Y1362" i="8" s="1"/>
  <c r="U1363" i="8" s="1"/>
  <c r="W1363" i="8" s="1"/>
  <c r="Y1363" i="8" s="1"/>
  <c r="U1364" i="8" s="1"/>
  <c r="W1364" i="8" s="1"/>
  <c r="Y1364" i="8" s="1"/>
  <c r="H1361" i="8"/>
  <c r="G1361" i="8"/>
  <c r="G1352" i="8"/>
  <c r="K1352" i="8" s="1"/>
  <c r="C1352" i="8"/>
  <c r="G108" i="1" s="1"/>
  <c r="C1351" i="8"/>
  <c r="F108" i="1" s="1"/>
  <c r="K1350" i="8"/>
  <c r="J108" i="1" s="1"/>
  <c r="G1350" i="8"/>
  <c r="M108" i="1" s="1"/>
  <c r="H1344" i="8"/>
  <c r="G1344" i="8"/>
  <c r="C1236" i="8"/>
  <c r="G1235" i="8"/>
  <c r="K1235" i="8" s="1"/>
  <c r="C1235" i="8"/>
  <c r="G31" i="1" s="1"/>
  <c r="C1234" i="8"/>
  <c r="F31" i="1" s="1"/>
  <c r="K1233" i="8"/>
  <c r="J31" i="1" s="1"/>
  <c r="G1233" i="8"/>
  <c r="M31" i="1" s="1"/>
  <c r="H1227" i="8"/>
  <c r="G1227" i="8"/>
  <c r="G1155" i="8"/>
  <c r="C1155" i="8"/>
  <c r="G93" i="1" s="1"/>
  <c r="C1154" i="8"/>
  <c r="F93" i="1" s="1"/>
  <c r="K1153" i="8"/>
  <c r="J93" i="1" s="1"/>
  <c r="G1153" i="8"/>
  <c r="M93" i="1" s="1"/>
  <c r="H1147" i="8"/>
  <c r="G1147" i="8"/>
  <c r="R1337" i="8"/>
  <c r="R1335" i="8"/>
  <c r="G1335" i="8"/>
  <c r="K1335" i="8" s="1"/>
  <c r="C1335" i="8"/>
  <c r="G81" i="1" s="1"/>
  <c r="C1334" i="8"/>
  <c r="F81" i="1" s="1"/>
  <c r="R1333" i="8"/>
  <c r="K1333" i="8"/>
  <c r="J81" i="1" s="1"/>
  <c r="G1333" i="8"/>
  <c r="M81" i="1" s="1"/>
  <c r="R1329" i="8"/>
  <c r="H1327" i="8"/>
  <c r="G1327" i="8"/>
  <c r="U1323" i="8"/>
  <c r="W1323" i="8" s="1"/>
  <c r="Y1323" i="8" s="1"/>
  <c r="R1323" i="8"/>
  <c r="R1322" i="8"/>
  <c r="R1321" i="8"/>
  <c r="R1320" i="8"/>
  <c r="R1319" i="8"/>
  <c r="G1319" i="8"/>
  <c r="K1319" i="8" s="1"/>
  <c r="C1319" i="8"/>
  <c r="R1318" i="8"/>
  <c r="C1318" i="8"/>
  <c r="R1317" i="8"/>
  <c r="G1317" i="8"/>
  <c r="R1316" i="8"/>
  <c r="K1316" i="8"/>
  <c r="K1318" i="8" s="1"/>
  <c r="R1315" i="8"/>
  <c r="R1314" i="8"/>
  <c r="R1313" i="8"/>
  <c r="W1312" i="8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R1312" i="8"/>
  <c r="H1311" i="8"/>
  <c r="G1311" i="8"/>
  <c r="G1303" i="8"/>
  <c r="K1303" i="8" s="1"/>
  <c r="C1303" i="8"/>
  <c r="G110" i="1" s="1"/>
  <c r="C1302" i="8"/>
  <c r="F110" i="1" s="1"/>
  <c r="K1301" i="8"/>
  <c r="J110" i="1" s="1"/>
  <c r="G1301" i="8"/>
  <c r="M110" i="1" s="1"/>
  <c r="R1296" i="8"/>
  <c r="R1297" i="8" s="1"/>
  <c r="R1298" i="8" s="1"/>
  <c r="H1295" i="8"/>
  <c r="G1295" i="8"/>
  <c r="R1255" i="8"/>
  <c r="R1252" i="8"/>
  <c r="R1253" i="8" s="1"/>
  <c r="G1251" i="8"/>
  <c r="K1251" i="8" s="1"/>
  <c r="C1251" i="8"/>
  <c r="G68" i="1" s="1"/>
  <c r="R1250" i="8"/>
  <c r="C1250" i="8"/>
  <c r="F68" i="1" s="1"/>
  <c r="R1249" i="8"/>
  <c r="K1249" i="8"/>
  <c r="J68" i="1" s="1"/>
  <c r="G1249" i="8"/>
  <c r="M68" i="1" s="1"/>
  <c r="R1247" i="8"/>
  <c r="H1243" i="8"/>
  <c r="G1243" i="8"/>
  <c r="G257" i="8"/>
  <c r="K257" i="8" s="1"/>
  <c r="C257" i="8"/>
  <c r="G84" i="1" s="1"/>
  <c r="C256" i="8"/>
  <c r="J84" i="1"/>
  <c r="G255" i="8"/>
  <c r="M84" i="1" s="1"/>
  <c r="C258" i="8"/>
  <c r="H249" i="8"/>
  <c r="G249" i="8"/>
  <c r="U1289" i="8"/>
  <c r="W1289" i="8" s="1"/>
  <c r="Y1289" i="8" s="1"/>
  <c r="R1289" i="8"/>
  <c r="R1288" i="8"/>
  <c r="R1287" i="8"/>
  <c r="U1286" i="8"/>
  <c r="W1286" i="8" s="1"/>
  <c r="Y1286" i="8" s="1"/>
  <c r="U1287" i="8" s="1"/>
  <c r="W1287" i="8" s="1"/>
  <c r="Y1287" i="8" s="1"/>
  <c r="U1288" i="8" s="1"/>
  <c r="R1286" i="8"/>
  <c r="R1285" i="8"/>
  <c r="G1285" i="8"/>
  <c r="K1285" i="8" s="1"/>
  <c r="C1285" i="8"/>
  <c r="R1284" i="8"/>
  <c r="C1284" i="8"/>
  <c r="R1283" i="8"/>
  <c r="K1283" i="8"/>
  <c r="G1283" i="8"/>
  <c r="R1282" i="8"/>
  <c r="R1281" i="8"/>
  <c r="R1280" i="8"/>
  <c r="R1279" i="8"/>
  <c r="W1278" i="8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H1277" i="8"/>
  <c r="G1277" i="8"/>
  <c r="C528" i="8"/>
  <c r="G527" i="8"/>
  <c r="K527" i="8" s="1"/>
  <c r="C527" i="8"/>
  <c r="G56" i="1" s="1"/>
  <c r="C526" i="8"/>
  <c r="J56" i="1"/>
  <c r="G525" i="8"/>
  <c r="M56" i="1" s="1"/>
  <c r="W520" i="8"/>
  <c r="Y520" i="8" s="1"/>
  <c r="U521" i="8" s="1"/>
  <c r="W521" i="8" s="1"/>
  <c r="Y521" i="8" s="1"/>
  <c r="H519" i="8"/>
  <c r="G519" i="8"/>
  <c r="G689" i="8"/>
  <c r="O47" i="1" s="1"/>
  <c r="C689" i="8"/>
  <c r="G47" i="1" s="1"/>
  <c r="C688" i="8"/>
  <c r="F47" i="1" s="1"/>
  <c r="K687" i="8"/>
  <c r="J47" i="1" s="1"/>
  <c r="G687" i="8"/>
  <c r="M47" i="1" s="1"/>
  <c r="H681" i="8"/>
  <c r="G681" i="8"/>
  <c r="G657" i="8"/>
  <c r="C657" i="8"/>
  <c r="G52" i="1" s="1"/>
  <c r="C656" i="8"/>
  <c r="F52" i="1" s="1"/>
  <c r="K655" i="8"/>
  <c r="J52" i="1" s="1"/>
  <c r="G655" i="8"/>
  <c r="M52" i="1" s="1"/>
  <c r="H649" i="8"/>
  <c r="G649" i="8"/>
  <c r="G593" i="8"/>
  <c r="K593" i="8" s="1"/>
  <c r="C593" i="8"/>
  <c r="G51" i="1" s="1"/>
  <c r="C592" i="8"/>
  <c r="F51" i="1" s="1"/>
  <c r="J51" i="1"/>
  <c r="G591" i="8"/>
  <c r="M51" i="1" s="1"/>
  <c r="H585" i="8"/>
  <c r="G585" i="8"/>
  <c r="G577" i="8"/>
  <c r="K577" i="8" s="1"/>
  <c r="C577" i="8"/>
  <c r="G92" i="1" s="1"/>
  <c r="C576" i="8"/>
  <c r="F92" i="1" s="1"/>
  <c r="K575" i="8"/>
  <c r="J92" i="1" s="1"/>
  <c r="G575" i="8"/>
  <c r="M92" i="1" s="1"/>
  <c r="H569" i="8"/>
  <c r="G569" i="8"/>
  <c r="G1171" i="8"/>
  <c r="C1171" i="8"/>
  <c r="G106" i="1" s="1"/>
  <c r="C1170" i="8"/>
  <c r="F106" i="1" s="1"/>
  <c r="K1169" i="8"/>
  <c r="J106" i="1" s="1"/>
  <c r="G1169" i="8"/>
  <c r="M106" i="1" s="1"/>
  <c r="H1163" i="8"/>
  <c r="G1163" i="8"/>
  <c r="G561" i="8"/>
  <c r="K561" i="8" s="1"/>
  <c r="C561" i="8"/>
  <c r="G97" i="1" s="1"/>
  <c r="C560" i="8"/>
  <c r="K559" i="8"/>
  <c r="J97" i="1" s="1"/>
  <c r="G559" i="8"/>
  <c r="M97" i="1" s="1"/>
  <c r="H553" i="8"/>
  <c r="G553" i="8"/>
  <c r="G464" i="8"/>
  <c r="K464" i="8" s="1"/>
  <c r="C464" i="8"/>
  <c r="G63" i="1" s="1"/>
  <c r="C463" i="8"/>
  <c r="K462" i="8"/>
  <c r="J63" i="1" s="1"/>
  <c r="G462" i="8"/>
  <c r="M63" i="1" s="1"/>
  <c r="H456" i="8"/>
  <c r="G456" i="8"/>
  <c r="G353" i="8"/>
  <c r="K353" i="8" s="1"/>
  <c r="C353" i="8"/>
  <c r="G67" i="1" s="1"/>
  <c r="C352" i="8"/>
  <c r="F67" i="1" s="1"/>
  <c r="K351" i="8"/>
  <c r="J67" i="1" s="1"/>
  <c r="G351" i="8"/>
  <c r="M67" i="1" s="1"/>
  <c r="W346" i="8"/>
  <c r="Y346" i="8" s="1"/>
  <c r="U347" i="8" s="1"/>
  <c r="H345" i="8"/>
  <c r="G345" i="8"/>
  <c r="G673" i="8"/>
  <c r="K673" i="8" s="1"/>
  <c r="C673" i="8"/>
  <c r="G102" i="1" s="1"/>
  <c r="C672" i="8"/>
  <c r="K671" i="8"/>
  <c r="J102" i="1" s="1"/>
  <c r="G671" i="8"/>
  <c r="M102" i="1" s="1"/>
  <c r="R667" i="8"/>
  <c r="W666" i="8"/>
  <c r="Y666" i="8" s="1"/>
  <c r="U667" i="8" s="1"/>
  <c r="H665" i="8"/>
  <c r="G665" i="8"/>
  <c r="R1062" i="8"/>
  <c r="C1060" i="8" s="1"/>
  <c r="G1059" i="8"/>
  <c r="K1059" i="8" s="1"/>
  <c r="C1059" i="8"/>
  <c r="G29" i="1" s="1"/>
  <c r="C1058" i="8"/>
  <c r="F29" i="1" s="1"/>
  <c r="K1057" i="8"/>
  <c r="J29" i="1" s="1"/>
  <c r="G1057" i="8"/>
  <c r="M29" i="1" s="1"/>
  <c r="W1052" i="8"/>
  <c r="Y1052" i="8" s="1"/>
  <c r="H1051" i="8"/>
  <c r="G1051" i="8"/>
  <c r="G337" i="8"/>
  <c r="K337" i="8" s="1"/>
  <c r="C337" i="8"/>
  <c r="G35" i="1" s="1"/>
  <c r="C336" i="8"/>
  <c r="F35" i="1" s="1"/>
  <c r="K335" i="8"/>
  <c r="J35" i="1" s="1"/>
  <c r="G335" i="8"/>
  <c r="M35" i="1" s="1"/>
  <c r="W330" i="8"/>
  <c r="Y330" i="8" s="1"/>
  <c r="U331" i="8" s="1"/>
  <c r="H329" i="8"/>
  <c r="G329" i="8"/>
  <c r="G1011" i="8"/>
  <c r="C1011" i="8"/>
  <c r="G114" i="1" s="1"/>
  <c r="C1010" i="8"/>
  <c r="K1009" i="8"/>
  <c r="J114" i="1" s="1"/>
  <c r="G1009" i="8"/>
  <c r="M114" i="1" s="1"/>
  <c r="W1004" i="8"/>
  <c r="Y1004" i="8" s="1"/>
  <c r="U1005" i="8" s="1"/>
  <c r="H1003" i="8"/>
  <c r="G1003" i="8"/>
  <c r="R967" i="8"/>
  <c r="R968" i="8" s="1"/>
  <c r="G964" i="8"/>
  <c r="K964" i="8" s="1"/>
  <c r="C964" i="8"/>
  <c r="G24" i="1" s="1"/>
  <c r="C963" i="8"/>
  <c r="F24" i="1" s="1"/>
  <c r="K962" i="8"/>
  <c r="J24" i="1" s="1"/>
  <c r="G962" i="8"/>
  <c r="M24" i="1" s="1"/>
  <c r="R958" i="8"/>
  <c r="W957" i="8"/>
  <c r="Y957" i="8" s="1"/>
  <c r="U958" i="8" s="1"/>
  <c r="W958" i="8" s="1"/>
  <c r="Y958" i="8" s="1"/>
  <c r="H956" i="8"/>
  <c r="G956" i="8"/>
  <c r="G543" i="8"/>
  <c r="K543" i="8" s="1"/>
  <c r="C543" i="8"/>
  <c r="G58" i="1" s="1"/>
  <c r="C542" i="8"/>
  <c r="F58" i="1" s="1"/>
  <c r="K541" i="8"/>
  <c r="J58" i="1" s="1"/>
  <c r="G541" i="8"/>
  <c r="M58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1466" i="8"/>
  <c r="K1466" i="8" s="1"/>
  <c r="C1466" i="8"/>
  <c r="G101" i="1" s="1"/>
  <c r="C1465" i="8"/>
  <c r="F101" i="1" s="1"/>
  <c r="K1464" i="8"/>
  <c r="J101" i="1" s="1"/>
  <c r="G1464" i="8"/>
  <c r="M101" i="1" s="1"/>
  <c r="W1459" i="8"/>
  <c r="Y1459" i="8" s="1"/>
  <c r="U1460" i="8" s="1"/>
  <c r="H1458" i="8"/>
  <c r="G1458" i="8"/>
  <c r="R1078" i="8"/>
  <c r="G1075" i="8"/>
  <c r="C1075" i="8"/>
  <c r="G98" i="1" s="1"/>
  <c r="C1074" i="8"/>
  <c r="F98" i="1" s="1"/>
  <c r="K1073" i="8"/>
  <c r="J98" i="1" s="1"/>
  <c r="G1073" i="8"/>
  <c r="M98" i="1" s="1"/>
  <c r="W1068" i="8"/>
  <c r="Y1068" i="8" s="1"/>
  <c r="H1067" i="8"/>
  <c r="G1067" i="8"/>
  <c r="G448" i="8"/>
  <c r="O44" i="1" s="1"/>
  <c r="C448" i="8"/>
  <c r="G44" i="1" s="1"/>
  <c r="C449" i="8"/>
  <c r="C447" i="8"/>
  <c r="F44" i="1" s="1"/>
  <c r="K446" i="8"/>
  <c r="J44" i="1" s="1"/>
  <c r="G446" i="8"/>
  <c r="M44" i="1" s="1"/>
  <c r="Y441" i="8"/>
  <c r="U442" i="8" s="1"/>
  <c r="H440" i="8"/>
  <c r="G440" i="8"/>
  <c r="R421" i="8"/>
  <c r="C418" i="8" s="1"/>
  <c r="G417" i="8"/>
  <c r="K417" i="8" s="1"/>
  <c r="C417" i="8"/>
  <c r="G100" i="1" s="1"/>
  <c r="C416" i="8"/>
  <c r="F100" i="1" s="1"/>
  <c r="K415" i="8"/>
  <c r="J100" i="1" s="1"/>
  <c r="G415" i="8"/>
  <c r="M100" i="1" s="1"/>
  <c r="H409" i="8"/>
  <c r="G409" i="8"/>
  <c r="G401" i="8"/>
  <c r="K401" i="8" s="1"/>
  <c r="C401" i="8"/>
  <c r="G104" i="1" s="1"/>
  <c r="C400" i="8"/>
  <c r="F104" i="1" s="1"/>
  <c r="K399" i="8"/>
  <c r="J104" i="1" s="1"/>
  <c r="G399" i="8"/>
  <c r="M104" i="1" s="1"/>
  <c r="R397" i="8"/>
  <c r="R398" i="8" s="1"/>
  <c r="R399" i="8" s="1"/>
  <c r="W395" i="8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91" i="1" s="1"/>
  <c r="C384" i="8"/>
  <c r="K383" i="8"/>
  <c r="J91" i="1" s="1"/>
  <c r="G383" i="8"/>
  <c r="M91" i="1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9" i="1" s="1"/>
  <c r="C288" i="8"/>
  <c r="K287" i="8"/>
  <c r="J89" i="1" s="1"/>
  <c r="G287" i="8"/>
  <c r="M89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9" i="1" s="1"/>
  <c r="C272" i="8"/>
  <c r="K271" i="8"/>
  <c r="J69" i="1" s="1"/>
  <c r="G271" i="8"/>
  <c r="M69" i="1" s="1"/>
  <c r="H265" i="8"/>
  <c r="G265" i="8"/>
  <c r="C497" i="8"/>
  <c r="G496" i="8"/>
  <c r="K496" i="8" s="1"/>
  <c r="C496" i="8"/>
  <c r="G87" i="1" s="1"/>
  <c r="C495" i="8"/>
  <c r="K494" i="8"/>
  <c r="J87" i="1" s="1"/>
  <c r="G494" i="8"/>
  <c r="M87" i="1" s="1"/>
  <c r="W489" i="8"/>
  <c r="Y489" i="8" s="1"/>
  <c r="U490" i="8" s="1"/>
  <c r="H488" i="8"/>
  <c r="G488" i="8"/>
  <c r="G1123" i="8"/>
  <c r="K1123" i="8" s="1"/>
  <c r="C1123" i="8"/>
  <c r="C1122" i="8"/>
  <c r="F80" i="1" s="1"/>
  <c r="K1121" i="8"/>
  <c r="J80" i="1" s="1"/>
  <c r="G1121" i="8"/>
  <c r="M80" i="1" s="1"/>
  <c r="R1117" i="8"/>
  <c r="R1118" i="8" s="1"/>
  <c r="R1119" i="8" s="1"/>
  <c r="R1120" i="8" s="1"/>
  <c r="R1121" i="8" s="1"/>
  <c r="R1122" i="8" s="1"/>
  <c r="R1123" i="8" s="1"/>
  <c r="R1124" i="8" s="1"/>
  <c r="R1125" i="8" s="1"/>
  <c r="W1116" i="8"/>
  <c r="Y1116" i="8" s="1"/>
  <c r="H1115" i="8"/>
  <c r="G1115" i="8"/>
  <c r="C242" i="8"/>
  <c r="I238" i="8" s="1"/>
  <c r="G241" i="8"/>
  <c r="K241" i="8" s="1"/>
  <c r="C241" i="8"/>
  <c r="G38" i="1" s="1"/>
  <c r="C240" i="8"/>
  <c r="K239" i="8"/>
  <c r="J38" i="1" s="1"/>
  <c r="G239" i="8"/>
  <c r="M38" i="1" s="1"/>
  <c r="W234" i="8"/>
  <c r="Y234" i="8" s="1"/>
  <c r="H233" i="8"/>
  <c r="G233" i="8"/>
  <c r="G225" i="8"/>
  <c r="K225" i="8" s="1"/>
  <c r="C225" i="8"/>
  <c r="G36" i="1" s="1"/>
  <c r="C224" i="8"/>
  <c r="K223" i="8"/>
  <c r="J36" i="1" s="1"/>
  <c r="G223" i="8"/>
  <c r="M36" i="1" s="1"/>
  <c r="W218" i="8"/>
  <c r="Y218" i="8" s="1"/>
  <c r="U219" i="8" s="1"/>
  <c r="H217" i="8"/>
  <c r="G217" i="8"/>
  <c r="U1389" i="8"/>
  <c r="W1389" i="8" s="1"/>
  <c r="Y1389" i="8" s="1"/>
  <c r="R1389" i="8"/>
  <c r="U1386" i="8"/>
  <c r="W1386" i="8" s="1"/>
  <c r="Y1386" i="8" s="1"/>
  <c r="U1387" i="8" s="1"/>
  <c r="W1387" i="8" s="1"/>
  <c r="Y1387" i="8" s="1"/>
  <c r="U1388" i="8" s="1"/>
  <c r="R1386" i="8"/>
  <c r="R1385" i="8"/>
  <c r="G1385" i="8"/>
  <c r="K1385" i="8" s="1"/>
  <c r="C1385" i="8"/>
  <c r="C1384" i="8"/>
  <c r="R1383" i="8"/>
  <c r="G1383" i="8"/>
  <c r="R1382" i="8"/>
  <c r="K1382" i="8"/>
  <c r="K1384" i="8" s="1"/>
  <c r="R1381" i="8"/>
  <c r="R1379" i="8"/>
  <c r="W1378" i="8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H1377" i="8"/>
  <c r="G1377" i="8"/>
  <c r="C513" i="8"/>
  <c r="G512" i="8"/>
  <c r="K512" i="8" s="1"/>
  <c r="C512" i="8"/>
  <c r="G88" i="1" s="1"/>
  <c r="C511" i="8"/>
  <c r="K510" i="8"/>
  <c r="J88" i="1" s="1"/>
  <c r="G510" i="8"/>
  <c r="M88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8" i="1" s="1"/>
  <c r="R127" i="8"/>
  <c r="C127" i="8"/>
  <c r="F18" i="1" s="1"/>
  <c r="K126" i="8"/>
  <c r="J18" i="1" s="1"/>
  <c r="G126" i="8"/>
  <c r="M18" i="1" s="1"/>
  <c r="R125" i="8"/>
  <c r="R124" i="8"/>
  <c r="R123" i="8"/>
  <c r="W121" i="8"/>
  <c r="Y121" i="8" s="1"/>
  <c r="U122" i="8" s="1"/>
  <c r="H120" i="8"/>
  <c r="G120" i="8"/>
  <c r="G160" i="8"/>
  <c r="K160" i="8" s="1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90" i="1" s="1"/>
  <c r="C208" i="8"/>
  <c r="F90" i="1" s="1"/>
  <c r="K207" i="8"/>
  <c r="J90" i="1" s="1"/>
  <c r="G207" i="8"/>
  <c r="M90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84" i="8"/>
  <c r="G980" i="8"/>
  <c r="K980" i="8" s="1"/>
  <c r="C980" i="8"/>
  <c r="G86" i="1" s="1"/>
  <c r="W979" i="8"/>
  <c r="Y979" i="8" s="1"/>
  <c r="U980" i="8" s="1"/>
  <c r="W980" i="8" s="1"/>
  <c r="Y980" i="8" s="1"/>
  <c r="C979" i="8"/>
  <c r="F86" i="1" s="1"/>
  <c r="J86" i="1"/>
  <c r="G978" i="8"/>
  <c r="W977" i="8"/>
  <c r="Y977" i="8" s="1"/>
  <c r="U978" i="8" s="1"/>
  <c r="W978" i="8" s="1"/>
  <c r="Y978" i="8" s="1"/>
  <c r="U979" i="8" s="1"/>
  <c r="R975" i="8"/>
  <c r="Y973" i="8"/>
  <c r="U974" i="8" s="1"/>
  <c r="W974" i="8" s="1"/>
  <c r="H972" i="8"/>
  <c r="G972" i="8"/>
  <c r="G176" i="8"/>
  <c r="K176" i="8" s="1"/>
  <c r="C176" i="8"/>
  <c r="G73" i="1" s="1"/>
  <c r="C175" i="8"/>
  <c r="F73" i="1" s="1"/>
  <c r="J73" i="1"/>
  <c r="G174" i="8"/>
  <c r="M73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7" i="1" s="1"/>
  <c r="C63" i="8"/>
  <c r="G17" i="1" s="1"/>
  <c r="R62" i="8"/>
  <c r="C62" i="8"/>
  <c r="F17" i="1" s="1"/>
  <c r="R61" i="8"/>
  <c r="K61" i="8"/>
  <c r="G61" i="8"/>
  <c r="M17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1" i="1"/>
  <c r="E41" i="1"/>
  <c r="B41" i="1"/>
  <c r="H66" i="1"/>
  <c r="E66" i="1"/>
  <c r="B66" i="1"/>
  <c r="H100" i="1"/>
  <c r="E100" i="1"/>
  <c r="B100" i="1"/>
  <c r="H102" i="1"/>
  <c r="E102" i="1"/>
  <c r="H110" i="1"/>
  <c r="E110" i="1"/>
  <c r="J64" i="1"/>
  <c r="H64" i="1"/>
  <c r="E64" i="1"/>
  <c r="B64" i="1"/>
  <c r="H63" i="1"/>
  <c r="E63" i="1"/>
  <c r="I113" i="1"/>
  <c r="H113" i="1"/>
  <c r="E113" i="1"/>
  <c r="B113" i="1"/>
  <c r="H85" i="1"/>
  <c r="E85" i="1"/>
  <c r="B85" i="1"/>
  <c r="H31" i="1"/>
  <c r="E31" i="1"/>
  <c r="B31" i="1"/>
  <c r="H57" i="1"/>
  <c r="E57" i="1"/>
  <c r="H49" i="1"/>
  <c r="E49" i="1"/>
  <c r="H67" i="1"/>
  <c r="E67" i="1"/>
  <c r="H101" i="1"/>
  <c r="E101" i="1"/>
  <c r="E52" i="1"/>
  <c r="B52" i="1"/>
  <c r="H89" i="1"/>
  <c r="E89" i="1"/>
  <c r="B89" i="1"/>
  <c r="H99" i="1"/>
  <c r="E99" i="1"/>
  <c r="B99" i="1"/>
  <c r="H92" i="1"/>
  <c r="E92" i="1"/>
  <c r="H47" i="1"/>
  <c r="E47" i="1"/>
  <c r="H108" i="1"/>
  <c r="E108" i="1"/>
  <c r="H84" i="1"/>
  <c r="E84" i="1"/>
  <c r="B84" i="1"/>
  <c r="H56" i="1"/>
  <c r="E56" i="1"/>
  <c r="B56" i="1"/>
  <c r="H106" i="1"/>
  <c r="E106" i="1"/>
  <c r="H68" i="1"/>
  <c r="E68" i="1"/>
  <c r="B68" i="1"/>
  <c r="H51" i="1"/>
  <c r="E51" i="1"/>
  <c r="B51" i="1"/>
  <c r="H98" i="1"/>
  <c r="E98" i="1"/>
  <c r="B98" i="1"/>
  <c r="H48" i="1"/>
  <c r="E48" i="1"/>
  <c r="B48" i="1"/>
  <c r="H37" i="1"/>
  <c r="E37" i="1"/>
  <c r="B37" i="1"/>
  <c r="H93" i="1"/>
  <c r="E93" i="1"/>
  <c r="H105" i="1"/>
  <c r="E105" i="1"/>
  <c r="H95" i="1"/>
  <c r="E95" i="1"/>
  <c r="H44" i="1"/>
  <c r="E44" i="1"/>
  <c r="B44" i="1"/>
  <c r="H29" i="1"/>
  <c r="E29" i="1"/>
  <c r="H91" i="1"/>
  <c r="E91" i="1"/>
  <c r="H109" i="1"/>
  <c r="E109" i="1"/>
  <c r="B109" i="1"/>
  <c r="H58" i="1"/>
  <c r="E58" i="1"/>
  <c r="H69" i="1"/>
  <c r="E69" i="1"/>
  <c r="H97" i="1"/>
  <c r="E97" i="1"/>
  <c r="B97" i="1"/>
  <c r="H87" i="1"/>
  <c r="E87" i="1"/>
  <c r="B87" i="1"/>
  <c r="H112" i="1"/>
  <c r="E112" i="1"/>
  <c r="B112" i="1"/>
  <c r="H80" i="1"/>
  <c r="E80" i="1"/>
  <c r="H39" i="1"/>
  <c r="E39" i="1"/>
  <c r="H38" i="1"/>
  <c r="E38" i="1"/>
  <c r="H36" i="1"/>
  <c r="E36" i="1"/>
  <c r="B36" i="1"/>
  <c r="H88" i="1"/>
  <c r="E88" i="1"/>
  <c r="H35" i="1"/>
  <c r="E35" i="1"/>
  <c r="E45" i="1" s="1"/>
  <c r="H28" i="1"/>
  <c r="E28" i="1"/>
  <c r="B28" i="1"/>
  <c r="H50" i="1"/>
  <c r="E50" i="1"/>
  <c r="B50" i="1"/>
  <c r="H59" i="1"/>
  <c r="E59" i="1"/>
  <c r="B59" i="1"/>
  <c r="H23" i="1"/>
  <c r="E23" i="1"/>
  <c r="B23" i="1"/>
  <c r="H65" i="1"/>
  <c r="E65" i="1"/>
  <c r="B65" i="1"/>
  <c r="H83" i="1"/>
  <c r="E83" i="1"/>
  <c r="B83" i="1"/>
  <c r="H94" i="1"/>
  <c r="E94" i="1"/>
  <c r="B94" i="1"/>
  <c r="H22" i="1"/>
  <c r="E22" i="1"/>
  <c r="B22" i="1"/>
  <c r="H81" i="1"/>
  <c r="E81" i="1"/>
  <c r="B81" i="1"/>
  <c r="H16" i="1"/>
  <c r="E16" i="1"/>
  <c r="B16" i="1"/>
  <c r="H111" i="1"/>
  <c r="E111" i="1"/>
  <c r="H96" i="1"/>
  <c r="E96" i="1"/>
  <c r="B96" i="1"/>
  <c r="H79" i="1"/>
  <c r="E79" i="1"/>
  <c r="B79" i="1"/>
  <c r="H24" i="1"/>
  <c r="E24" i="1"/>
  <c r="B24" i="1"/>
  <c r="H30" i="1"/>
  <c r="E30" i="1"/>
  <c r="B30" i="1"/>
  <c r="H40" i="1"/>
  <c r="E40" i="1"/>
  <c r="B40" i="1"/>
  <c r="H18" i="1"/>
  <c r="E18" i="1"/>
  <c r="B18" i="1"/>
  <c r="E17" i="1"/>
  <c r="B17" i="1"/>
  <c r="H104" i="1"/>
  <c r="E104" i="1"/>
  <c r="B104" i="1"/>
  <c r="Y42" i="1"/>
  <c r="H42" i="1"/>
  <c r="E42" i="1"/>
  <c r="B42" i="1"/>
  <c r="H90" i="1"/>
  <c r="E90" i="1"/>
  <c r="B90" i="1"/>
  <c r="H86" i="1"/>
  <c r="E86" i="1"/>
  <c r="B86" i="1"/>
  <c r="H73" i="1"/>
  <c r="E73" i="1"/>
  <c r="O15" i="1"/>
  <c r="M15" i="1"/>
  <c r="L15" i="1"/>
  <c r="I15" i="1"/>
  <c r="H15" i="1"/>
  <c r="H14" i="1"/>
  <c r="E14" i="1"/>
  <c r="I8" i="1"/>
  <c r="H8" i="1"/>
  <c r="E11" i="1"/>
  <c r="B8" i="1"/>
  <c r="D5" i="1"/>
  <c r="D4" i="1"/>
  <c r="P1" i="1"/>
  <c r="N1" i="1"/>
  <c r="E122" i="1" s="1"/>
  <c r="E32" i="1" l="1"/>
  <c r="E60" i="1"/>
  <c r="F42" i="1"/>
  <c r="I1264" i="8"/>
  <c r="K1264" i="8" s="1"/>
  <c r="K1266" i="8" s="1"/>
  <c r="K1268" i="8" s="1"/>
  <c r="I1232" i="8"/>
  <c r="K1232" i="8" s="1"/>
  <c r="K1234" i="8" s="1"/>
  <c r="K1236" i="8" s="1"/>
  <c r="J25" i="1"/>
  <c r="I734" i="8"/>
  <c r="K734" i="8" s="1"/>
  <c r="K736" i="8" s="1"/>
  <c r="I945" i="8"/>
  <c r="K945" i="8" s="1"/>
  <c r="K947" i="8" s="1"/>
  <c r="K881" i="8"/>
  <c r="I445" i="8"/>
  <c r="K445" i="8" s="1"/>
  <c r="K447" i="8" s="1"/>
  <c r="E25" i="1"/>
  <c r="U1053" i="8"/>
  <c r="W1053" i="8" s="1"/>
  <c r="Y1053" i="8" s="1"/>
  <c r="I509" i="8"/>
  <c r="U1133" i="8"/>
  <c r="W1133" i="8" s="1"/>
  <c r="Y1133" i="8" s="1"/>
  <c r="U522" i="8"/>
  <c r="W522" i="8" s="1"/>
  <c r="Y522" i="8" s="1"/>
  <c r="R43" i="8"/>
  <c r="R44" i="8" s="1"/>
  <c r="R45" i="8" s="1"/>
  <c r="R46" i="8" s="1"/>
  <c r="F63" i="1"/>
  <c r="I382" i="8"/>
  <c r="K382" i="8" s="1"/>
  <c r="K384" i="8" s="1"/>
  <c r="K386" i="8" s="1"/>
  <c r="E74" i="1"/>
  <c r="K622" i="8"/>
  <c r="K624" i="8" s="1"/>
  <c r="F56" i="1"/>
  <c r="K524" i="8"/>
  <c r="K526" i="8" s="1"/>
  <c r="I1024" i="8"/>
  <c r="J70" i="1"/>
  <c r="E70" i="1"/>
  <c r="F85" i="1"/>
  <c r="C144" i="8"/>
  <c r="E53" i="1"/>
  <c r="J43" i="1"/>
  <c r="J74" i="1" s="1"/>
  <c r="U1" i="8"/>
  <c r="C981" i="8"/>
  <c r="I977" i="8" s="1"/>
  <c r="K977" i="8" s="1"/>
  <c r="C754" i="8"/>
  <c r="C544" i="8"/>
  <c r="I540" i="8" s="1"/>
  <c r="K429" i="8"/>
  <c r="K431" i="8" s="1"/>
  <c r="K41" i="1" s="1"/>
  <c r="M75" i="1"/>
  <c r="C1402" i="8"/>
  <c r="I1398" i="8" s="1"/>
  <c r="C817" i="8"/>
  <c r="F114" i="1"/>
  <c r="I1040" i="8"/>
  <c r="I22" i="1" s="1"/>
  <c r="C481" i="8"/>
  <c r="I477" i="8" s="1"/>
  <c r="C1386" i="8"/>
  <c r="C869" i="8"/>
  <c r="C129" i="8"/>
  <c r="I125" i="8" s="1"/>
  <c r="C786" i="8"/>
  <c r="I1056" i="8"/>
  <c r="K1056" i="8" s="1"/>
  <c r="K1058" i="8" s="1"/>
  <c r="K1060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20" i="8"/>
  <c r="C194" i="8"/>
  <c r="I190" i="8" s="1"/>
  <c r="K190" i="8" s="1"/>
  <c r="K192" i="8" s="1"/>
  <c r="K194" i="8" s="1"/>
  <c r="K238" i="8"/>
  <c r="K240" i="8" s="1"/>
  <c r="K38" i="1" s="1"/>
  <c r="C32" i="8"/>
  <c r="I28" i="8" s="1"/>
  <c r="K28" i="8" s="1"/>
  <c r="K30" i="8" s="1"/>
  <c r="W122" i="8"/>
  <c r="Y122" i="8" s="1"/>
  <c r="U123" i="8" s="1"/>
  <c r="C801" i="8"/>
  <c r="W235" i="8"/>
  <c r="Y235" i="8" s="1"/>
  <c r="W236" i="8" s="1"/>
  <c r="Y236" i="8" s="1"/>
  <c r="C306" i="8"/>
  <c r="C1076" i="8"/>
  <c r="I1072" i="8" s="1"/>
  <c r="K1072" i="8" s="1"/>
  <c r="C833" i="8"/>
  <c r="C80" i="8"/>
  <c r="I76" i="8" s="1"/>
  <c r="K76" i="8" s="1"/>
  <c r="K78" i="8" s="1"/>
  <c r="Q7" i="1" s="1"/>
  <c r="C96" i="8"/>
  <c r="I92" i="8" s="1"/>
  <c r="K92" i="8" s="1"/>
  <c r="K94" i="8" s="1"/>
  <c r="Q9" i="1" s="1"/>
  <c r="U1069" i="8"/>
  <c r="W1069" i="8" s="1"/>
  <c r="Y1069" i="8" s="1"/>
  <c r="U1070" i="8" s="1"/>
  <c r="W1070" i="8" s="1"/>
  <c r="Y1070" i="8" s="1"/>
  <c r="U1071" i="8" s="1"/>
  <c r="C1433" i="8"/>
  <c r="C770" i="8"/>
  <c r="I73" i="1"/>
  <c r="R669" i="8"/>
  <c r="R670" i="8" s="1"/>
  <c r="R668" i="8"/>
  <c r="C226" i="8"/>
  <c r="I222" i="8" s="1"/>
  <c r="F91" i="1"/>
  <c r="F97" i="1"/>
  <c r="F38" i="1"/>
  <c r="F66" i="1"/>
  <c r="U1117" i="8"/>
  <c r="W1117" i="8" s="1"/>
  <c r="Y1117" i="8" s="1"/>
  <c r="F88" i="1"/>
  <c r="F49" i="1"/>
  <c r="F109" i="1"/>
  <c r="C1336" i="8"/>
  <c r="I1332" i="8" s="1"/>
  <c r="K1332" i="8" s="1"/>
  <c r="K1334" i="8" s="1"/>
  <c r="K81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90" i="1"/>
  <c r="K209" i="8"/>
  <c r="U959" i="8"/>
  <c r="W959" i="8" s="1"/>
  <c r="Y959" i="8" s="1"/>
  <c r="K62" i="8"/>
  <c r="K784" i="8"/>
  <c r="C1220" i="8"/>
  <c r="K142" i="8"/>
  <c r="K8" i="1" s="1"/>
  <c r="U139" i="8"/>
  <c r="W139" i="8" s="1"/>
  <c r="Y139" i="8" s="1"/>
  <c r="U140" i="8" s="1"/>
  <c r="W140" i="8" s="1"/>
  <c r="Y140" i="8" s="1"/>
  <c r="W667" i="8"/>
  <c r="Y667" i="8" s="1"/>
  <c r="U668" i="8" s="1"/>
  <c r="W347" i="8"/>
  <c r="Y347" i="8" s="1"/>
  <c r="U348" i="8" s="1"/>
  <c r="N15" i="1"/>
  <c r="U981" i="8"/>
  <c r="W981" i="8" s="1"/>
  <c r="Y981" i="8" s="1"/>
  <c r="U982" i="8" s="1"/>
  <c r="W982" i="8" s="1"/>
  <c r="Y982" i="8" s="1"/>
  <c r="W154" i="8"/>
  <c r="Y154" i="8" s="1"/>
  <c r="U155" i="8" s="1"/>
  <c r="W1119" i="8"/>
  <c r="Y1119" i="8" s="1"/>
  <c r="W331" i="8"/>
  <c r="Y331" i="8" s="1"/>
  <c r="U332" i="8" s="1"/>
  <c r="C594" i="8"/>
  <c r="I590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1005" i="8"/>
  <c r="Y1005" i="8" s="1"/>
  <c r="U1006" i="8" s="1"/>
  <c r="W442" i="8"/>
  <c r="Y442" i="8" s="1"/>
  <c r="U443" i="8" s="1"/>
  <c r="W1460" i="8"/>
  <c r="Y1460" i="8" s="1"/>
  <c r="U1461" i="8" s="1"/>
  <c r="C1188" i="8"/>
  <c r="I1184" i="8" s="1"/>
  <c r="C1252" i="8"/>
  <c r="K1248" i="8" s="1"/>
  <c r="K1250" i="8" s="1"/>
  <c r="U289" i="8"/>
  <c r="W289" i="8" s="1"/>
  <c r="Y289" i="8" s="1"/>
  <c r="U290" i="8" s="1"/>
  <c r="W290" i="8" s="1"/>
  <c r="Y290" i="8" s="1"/>
  <c r="K1011" i="8"/>
  <c r="O114" i="1"/>
  <c r="C1449" i="8"/>
  <c r="C562" i="8"/>
  <c r="I558" i="8" s="1"/>
  <c r="F89" i="1"/>
  <c r="I286" i="8"/>
  <c r="K286" i="8" s="1"/>
  <c r="K288" i="8" s="1"/>
  <c r="K143" i="8"/>
  <c r="U1365" i="8"/>
  <c r="W1365" i="8" s="1"/>
  <c r="Y1365" i="8" s="1"/>
  <c r="F87" i="1"/>
  <c r="K493" i="8"/>
  <c r="K495" i="8" s="1"/>
  <c r="K87" i="1" s="1"/>
  <c r="W635" i="8"/>
  <c r="Y635" i="8" s="1"/>
  <c r="C1204" i="8"/>
  <c r="I1200" i="8" s="1"/>
  <c r="K1200" i="8" s="1"/>
  <c r="F102" i="1"/>
  <c r="O68" i="1"/>
  <c r="G1168" i="8"/>
  <c r="L106" i="1" s="1"/>
  <c r="F69" i="1"/>
  <c r="C274" i="8"/>
  <c r="I270" i="8" s="1"/>
  <c r="Y541" i="8"/>
  <c r="W542" i="8" s="1"/>
  <c r="Y542" i="8" s="1"/>
  <c r="W543" i="8" s="1"/>
  <c r="Y543" i="8" s="1"/>
  <c r="U541" i="8"/>
  <c r="C610" i="8"/>
  <c r="I606" i="8" s="1"/>
  <c r="C578" i="8"/>
  <c r="W399" i="8"/>
  <c r="Y399" i="8" s="1"/>
  <c r="U1217" i="8"/>
  <c r="W1217" i="8" s="1"/>
  <c r="Y1217" i="8" s="1"/>
  <c r="C1286" i="8"/>
  <c r="C996" i="8"/>
  <c r="I992" i="8" s="1"/>
  <c r="K992" i="8" s="1"/>
  <c r="K994" i="8" s="1"/>
  <c r="K79" i="1" s="1"/>
  <c r="C354" i="8"/>
  <c r="I350" i="8" s="1"/>
  <c r="G1414" i="8"/>
  <c r="L105" i="1" s="1"/>
  <c r="F94" i="1"/>
  <c r="C1370" i="8"/>
  <c r="K1366" i="8" s="1"/>
  <c r="K1368" i="8" s="1"/>
  <c r="F84" i="1"/>
  <c r="C1467" i="8"/>
  <c r="I1463" i="8" s="1"/>
  <c r="K540" i="8"/>
  <c r="K542" i="8" s="1"/>
  <c r="C642" i="8"/>
  <c r="I638" i="8" s="1"/>
  <c r="C1304" i="8"/>
  <c r="I1300" i="8" s="1"/>
  <c r="C1092" i="8"/>
  <c r="K1431" i="8"/>
  <c r="K113" i="1" s="1"/>
  <c r="O105" i="1"/>
  <c r="G1398" i="8"/>
  <c r="G1418" i="8"/>
  <c r="P105" i="1" s="1"/>
  <c r="O79" i="1"/>
  <c r="O81" i="1"/>
  <c r="O48" i="1"/>
  <c r="K1432" i="8"/>
  <c r="C901" i="8"/>
  <c r="C933" i="8"/>
  <c r="I929" i="8" s="1"/>
  <c r="I111" i="1" s="1"/>
  <c r="C853" i="8"/>
  <c r="I849" i="8" s="1"/>
  <c r="W475" i="8"/>
  <c r="Y475" i="8" s="1"/>
  <c r="C1124" i="8"/>
  <c r="F37" i="1"/>
  <c r="C1353" i="8"/>
  <c r="I1349" i="8" s="1"/>
  <c r="Y974" i="8"/>
  <c r="O94" i="1"/>
  <c r="O83" i="1"/>
  <c r="G320" i="8"/>
  <c r="N39" i="1" s="1"/>
  <c r="C965" i="8"/>
  <c r="I961" i="8" s="1"/>
  <c r="C917" i="8"/>
  <c r="I913" i="8" s="1"/>
  <c r="C722" i="8"/>
  <c r="F36" i="1"/>
  <c r="F65" i="1"/>
  <c r="F111" i="1"/>
  <c r="K304" i="8"/>
  <c r="K306" i="8" s="1"/>
  <c r="K799" i="8"/>
  <c r="K801" i="8" s="1"/>
  <c r="O39" i="1"/>
  <c r="K414" i="8"/>
  <c r="K416" i="8" s="1"/>
  <c r="C1172" i="8"/>
  <c r="K750" i="8"/>
  <c r="K752" i="8" s="1"/>
  <c r="K813" i="8"/>
  <c r="K815" i="8" s="1"/>
  <c r="O64" i="1"/>
  <c r="O57" i="1"/>
  <c r="O56" i="1"/>
  <c r="O31" i="1"/>
  <c r="O8" i="1"/>
  <c r="K1448" i="8"/>
  <c r="O99" i="1"/>
  <c r="K916" i="8"/>
  <c r="O40" i="1"/>
  <c r="K868" i="8"/>
  <c r="O59" i="1"/>
  <c r="K480" i="8"/>
  <c r="K948" i="8"/>
  <c r="O28" i="1"/>
  <c r="K932" i="8"/>
  <c r="O111" i="1"/>
  <c r="O38" i="1"/>
  <c r="K1027" i="8"/>
  <c r="O23" i="1"/>
  <c r="O30" i="1"/>
  <c r="K1155" i="8"/>
  <c r="O93" i="1"/>
  <c r="K1219" i="8"/>
  <c r="O16" i="1"/>
  <c r="K657" i="8"/>
  <c r="O52" i="1"/>
  <c r="K900" i="8"/>
  <c r="O96" i="1"/>
  <c r="O104" i="1"/>
  <c r="O22" i="1"/>
  <c r="O36" i="1"/>
  <c r="O95" i="1"/>
  <c r="O84" i="1"/>
  <c r="O100" i="1"/>
  <c r="K884" i="8"/>
  <c r="O85" i="1"/>
  <c r="I1136" i="8"/>
  <c r="F57" i="1"/>
  <c r="O29" i="1"/>
  <c r="O18" i="1"/>
  <c r="C1156" i="8"/>
  <c r="C1418" i="8"/>
  <c r="O92" i="1"/>
  <c r="O108" i="1"/>
  <c r="C1108" i="8"/>
  <c r="I1104" i="8" s="1"/>
  <c r="O69" i="1"/>
  <c r="O87" i="1"/>
  <c r="C706" i="8"/>
  <c r="I702" i="8" s="1"/>
  <c r="K768" i="8"/>
  <c r="K770" i="8" s="1"/>
  <c r="K831" i="8"/>
  <c r="K833" i="8" s="1"/>
  <c r="O14" i="1"/>
  <c r="K369" i="8"/>
  <c r="O109" i="1"/>
  <c r="K641" i="8"/>
  <c r="O50" i="1"/>
  <c r="G831" i="8"/>
  <c r="Y836" i="8"/>
  <c r="O101" i="1"/>
  <c r="K1401" i="8"/>
  <c r="G322" i="8"/>
  <c r="P39" i="1" s="1"/>
  <c r="G833" i="8"/>
  <c r="O110" i="1"/>
  <c r="O89" i="1"/>
  <c r="K289" i="8"/>
  <c r="K1187" i="8"/>
  <c r="O37" i="1"/>
  <c r="G1088" i="8"/>
  <c r="L30" i="1" s="1"/>
  <c r="O63" i="1"/>
  <c r="O102" i="1"/>
  <c r="G829" i="8"/>
  <c r="O24" i="1"/>
  <c r="O65" i="1"/>
  <c r="O97" i="1"/>
  <c r="O58" i="1"/>
  <c r="O51" i="1"/>
  <c r="G881" i="8"/>
  <c r="L85" i="1" s="1"/>
  <c r="K1282" i="8"/>
  <c r="K1284" i="8" s="1"/>
  <c r="O86" i="1"/>
  <c r="O67" i="1"/>
  <c r="O88" i="1"/>
  <c r="K705" i="8"/>
  <c r="O80" i="1"/>
  <c r="O35" i="1"/>
  <c r="O42" i="1"/>
  <c r="J48" i="1"/>
  <c r="J53" i="1" s="1"/>
  <c r="K625" i="8"/>
  <c r="K689" i="8"/>
  <c r="O91" i="1"/>
  <c r="O41" i="1"/>
  <c r="O112" i="1"/>
  <c r="G782" i="8"/>
  <c r="W788" i="8"/>
  <c r="Y788" i="8" s="1"/>
  <c r="K1386" i="8"/>
  <c r="K1320" i="8"/>
  <c r="W34" i="8"/>
  <c r="W82" i="8"/>
  <c r="W196" i="8"/>
  <c r="G190" i="8"/>
  <c r="W1388" i="8"/>
  <c r="G1382" i="8"/>
  <c r="G302" i="8"/>
  <c r="W308" i="8"/>
  <c r="W18" i="8"/>
  <c r="W50" i="8"/>
  <c r="G1316" i="8"/>
  <c r="W1322" i="8"/>
  <c r="W1372" i="8"/>
  <c r="O73" i="1"/>
  <c r="W983" i="8"/>
  <c r="W515" i="8"/>
  <c r="G80" i="1"/>
  <c r="K1075" i="8"/>
  <c r="O98" i="1"/>
  <c r="G461" i="8"/>
  <c r="L63" i="1" s="1"/>
  <c r="G797" i="8"/>
  <c r="W803" i="8"/>
  <c r="W1062" i="8"/>
  <c r="G590" i="8"/>
  <c r="L51" i="1" s="1"/>
  <c r="K448" i="8"/>
  <c r="Y750" i="8"/>
  <c r="G913" i="8"/>
  <c r="L40" i="1" s="1"/>
  <c r="W98" i="8"/>
  <c r="W114" i="8"/>
  <c r="K1171" i="8"/>
  <c r="O106" i="1"/>
  <c r="G1172" i="8"/>
  <c r="P106" i="1" s="1"/>
  <c r="G1170" i="8"/>
  <c r="N106" i="1" s="1"/>
  <c r="G1282" i="8"/>
  <c r="W1288" i="8"/>
  <c r="G1248" i="8"/>
  <c r="L68" i="1" s="1"/>
  <c r="G318" i="8"/>
  <c r="L39" i="1" s="1"/>
  <c r="G1416" i="8"/>
  <c r="N105" i="1" s="1"/>
  <c r="G1040" i="8"/>
  <c r="L22" i="1" s="1"/>
  <c r="W1435" i="8"/>
  <c r="G1429" i="8"/>
  <c r="L113" i="1" s="1"/>
  <c r="G718" i="8"/>
  <c r="W772" i="8"/>
  <c r="G766" i="8"/>
  <c r="G813" i="8"/>
  <c r="W819" i="8"/>
  <c r="Y1404" i="8"/>
  <c r="G1402" i="8" s="1"/>
  <c r="G1400" i="8"/>
  <c r="G606" i="8"/>
  <c r="L48" i="1" s="1"/>
  <c r="G865" i="8"/>
  <c r="L43" i="1" s="1"/>
  <c r="G992" i="8"/>
  <c r="L79" i="1" s="1"/>
  <c r="G1200" i="8"/>
  <c r="L64" i="1" s="1"/>
  <c r="W644" i="8"/>
  <c r="G638" i="8"/>
  <c r="L50" i="1" s="1"/>
  <c r="I865" i="8" l="1"/>
  <c r="I43" i="1" s="1"/>
  <c r="K449" i="8"/>
  <c r="I1216" i="8"/>
  <c r="K1216" i="8" s="1"/>
  <c r="K1218" i="8" s="1"/>
  <c r="U544" i="8"/>
  <c r="W544" i="8" s="1"/>
  <c r="Y544" i="8" s="1"/>
  <c r="U1218" i="8"/>
  <c r="W1218" i="8" s="1"/>
  <c r="Y1218" i="8" s="1"/>
  <c r="U1219" i="8" s="1"/>
  <c r="K961" i="8"/>
  <c r="K963" i="8" s="1"/>
  <c r="K738" i="8"/>
  <c r="Q57" i="1" s="1"/>
  <c r="C48" i="8"/>
  <c r="U1054" i="8"/>
  <c r="W1054" i="8" s="1"/>
  <c r="Y1054" i="8" s="1"/>
  <c r="U1134" i="8"/>
  <c r="W1134" i="8" s="1"/>
  <c r="Y1134" i="8" s="1"/>
  <c r="U523" i="8"/>
  <c r="W523" i="8" s="1"/>
  <c r="Y523" i="8" s="1"/>
  <c r="K897" i="8"/>
  <c r="I1152" i="8"/>
  <c r="I93" i="1" s="1"/>
  <c r="J45" i="1"/>
  <c r="K125" i="8"/>
  <c r="K127" i="8" s="1"/>
  <c r="K129" i="8" s="1"/>
  <c r="K1463" i="8"/>
  <c r="K1465" i="8" s="1"/>
  <c r="I1088" i="8"/>
  <c r="K1088" i="8" s="1"/>
  <c r="K1090" i="8" s="1"/>
  <c r="K638" i="8"/>
  <c r="K640" i="8" s="1"/>
  <c r="K477" i="8"/>
  <c r="K479" i="8" s="1"/>
  <c r="I98" i="1"/>
  <c r="U507" i="8"/>
  <c r="G509" i="8" s="1"/>
  <c r="L88" i="1" s="1"/>
  <c r="W491" i="8"/>
  <c r="Y491" i="8" s="1"/>
  <c r="U492" i="8" s="1"/>
  <c r="C674" i="8"/>
  <c r="Q17" i="1"/>
  <c r="K56" i="1"/>
  <c r="K528" i="8"/>
  <c r="K1349" i="8"/>
  <c r="K1351" i="8" s="1"/>
  <c r="K606" i="8"/>
  <c r="K608" i="8" s="1"/>
  <c r="O75" i="1"/>
  <c r="K222" i="8"/>
  <c r="K224" i="8" s="1"/>
  <c r="K226" i="8" s="1"/>
  <c r="K1184" i="8"/>
  <c r="K1186" i="8" s="1"/>
  <c r="C465" i="8"/>
  <c r="I461" i="8" s="1"/>
  <c r="C161" i="8"/>
  <c r="I157" i="8" s="1"/>
  <c r="K366" i="8"/>
  <c r="K368" i="8" s="1"/>
  <c r="K44" i="1"/>
  <c r="W123" i="8"/>
  <c r="Y123" i="8" s="1"/>
  <c r="U124" i="8" s="1"/>
  <c r="C338" i="8"/>
  <c r="I334" i="8" s="1"/>
  <c r="K334" i="8" s="1"/>
  <c r="K336" i="8" s="1"/>
  <c r="K338" i="8" s="1"/>
  <c r="K31" i="1"/>
  <c r="U1118" i="8"/>
  <c r="W1118" i="8" s="1"/>
  <c r="Y1118" i="8" s="1"/>
  <c r="K883" i="8"/>
  <c r="K885" i="8" s="1"/>
  <c r="I66" i="1"/>
  <c r="K1202" i="8"/>
  <c r="K1204" i="8" s="1"/>
  <c r="K574" i="8"/>
  <c r="K576" i="8" s="1"/>
  <c r="K578" i="8" s="1"/>
  <c r="Q92" i="1" s="1"/>
  <c r="K558" i="8"/>
  <c r="K560" i="8" s="1"/>
  <c r="K562" i="8" s="1"/>
  <c r="I398" i="8"/>
  <c r="I104" i="1" s="1"/>
  <c r="K242" i="8"/>
  <c r="U960" i="8"/>
  <c r="W1071" i="8"/>
  <c r="Y1071" i="8" s="1"/>
  <c r="U1072" i="8" s="1"/>
  <c r="W1072" i="8" s="1"/>
  <c r="I17" i="1"/>
  <c r="Q8" i="1"/>
  <c r="W1461" i="8"/>
  <c r="Y1461" i="8" s="1"/>
  <c r="U1462" i="8" s="1"/>
  <c r="W1006" i="8"/>
  <c r="Y1006" i="8" s="1"/>
  <c r="U1007" i="8" s="1"/>
  <c r="W443" i="8"/>
  <c r="Y443" i="8" s="1"/>
  <c r="U444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68" i="8"/>
  <c r="Y668" i="8" s="1"/>
  <c r="U669" i="8" s="1"/>
  <c r="U141" i="8"/>
  <c r="W141" i="8" s="1"/>
  <c r="Y141" i="8" s="1"/>
  <c r="W332" i="8"/>
  <c r="Y332" i="8" s="1"/>
  <c r="U333" i="8" s="1"/>
  <c r="U1120" i="8"/>
  <c r="W1120" i="8" s="1"/>
  <c r="Y1120" i="8" s="1"/>
  <c r="W237" i="8"/>
  <c r="Y237" i="8" s="1"/>
  <c r="K17" i="1"/>
  <c r="K1336" i="8"/>
  <c r="Q81" i="1" s="1"/>
  <c r="U291" i="8"/>
  <c r="W291" i="8" s="1"/>
  <c r="Y291" i="8" s="1"/>
  <c r="U292" i="8" s="1"/>
  <c r="I112" i="1"/>
  <c r="K1445" i="8"/>
  <c r="K1447" i="8" s="1"/>
  <c r="K42" i="1"/>
  <c r="Q42" i="1"/>
  <c r="K350" i="8"/>
  <c r="K352" i="8" s="1"/>
  <c r="K590" i="8"/>
  <c r="K592" i="8" s="1"/>
  <c r="I51" i="1"/>
  <c r="I57" i="1"/>
  <c r="K1414" i="8"/>
  <c r="K1416" i="8" s="1"/>
  <c r="K68" i="1"/>
  <c r="K1252" i="8"/>
  <c r="Q68" i="1" s="1"/>
  <c r="U1366" i="8"/>
  <c r="W1366" i="8" s="1"/>
  <c r="Y1366" i="8" s="1"/>
  <c r="W636" i="8"/>
  <c r="Y636" i="8" s="1"/>
  <c r="W400" i="8"/>
  <c r="Y400" i="8" s="1"/>
  <c r="I102" i="1"/>
  <c r="K1300" i="8"/>
  <c r="K1302" i="8" s="1"/>
  <c r="K270" i="8"/>
  <c r="K272" i="8" s="1"/>
  <c r="K274" i="8" s="1"/>
  <c r="Q69" i="1" s="1"/>
  <c r="G1336" i="8"/>
  <c r="P81" i="1" s="1"/>
  <c r="K913" i="8"/>
  <c r="K915" i="8" s="1"/>
  <c r="K917" i="8" s="1"/>
  <c r="I84" i="1"/>
  <c r="I28" i="1"/>
  <c r="I58" i="1"/>
  <c r="I49" i="1"/>
  <c r="I42" i="1"/>
  <c r="I18" i="1"/>
  <c r="K173" i="8"/>
  <c r="K175" i="8" s="1"/>
  <c r="K177" i="8" s="1"/>
  <c r="W476" i="8"/>
  <c r="K1040" i="8"/>
  <c r="K1042" i="8" s="1"/>
  <c r="K1433" i="8"/>
  <c r="Q113" i="1" s="1"/>
  <c r="I96" i="1"/>
  <c r="I108" i="1"/>
  <c r="U975" i="8"/>
  <c r="W975" i="8" s="1"/>
  <c r="Y975" i="8" s="1"/>
  <c r="U976" i="8" s="1"/>
  <c r="W976" i="8" s="1"/>
  <c r="Y976" i="8" s="1"/>
  <c r="U977" i="8" s="1"/>
  <c r="G977" i="8" s="1"/>
  <c r="L86" i="1" s="1"/>
  <c r="K979" i="8"/>
  <c r="I85" i="1"/>
  <c r="I100" i="1"/>
  <c r="K626" i="8"/>
  <c r="K290" i="8"/>
  <c r="Q89" i="1" s="1"/>
  <c r="S89" i="1" s="1"/>
  <c r="K865" i="8"/>
  <c r="K867" i="8" s="1"/>
  <c r="K720" i="8"/>
  <c r="K722" i="8" s="1"/>
  <c r="I36" i="1"/>
  <c r="K1104" i="8"/>
  <c r="K1106" i="8" s="1"/>
  <c r="I38" i="1"/>
  <c r="I41" i="1"/>
  <c r="I91" i="1"/>
  <c r="I29" i="1"/>
  <c r="K1398" i="8"/>
  <c r="K1400" i="8" s="1"/>
  <c r="I44" i="1"/>
  <c r="I94" i="1"/>
  <c r="I89" i="1"/>
  <c r="K256" i="8"/>
  <c r="I95" i="1"/>
  <c r="K1168" i="8"/>
  <c r="K1170" i="8" s="1"/>
  <c r="K106" i="1" s="1"/>
  <c r="I106" i="1"/>
  <c r="I56" i="1"/>
  <c r="I69" i="1"/>
  <c r="I79" i="1"/>
  <c r="I24" i="1"/>
  <c r="I48" i="1"/>
  <c r="K929" i="8"/>
  <c r="K931" i="8" s="1"/>
  <c r="K111" i="1" s="1"/>
  <c r="I81" i="1"/>
  <c r="I31" i="1"/>
  <c r="I23" i="1"/>
  <c r="K1024" i="8"/>
  <c r="K1026" i="8" s="1"/>
  <c r="K1028" i="8" s="1"/>
  <c r="I64" i="1"/>
  <c r="K702" i="8"/>
  <c r="K704" i="8" s="1"/>
  <c r="K66" i="1" s="1"/>
  <c r="I87" i="1"/>
  <c r="W789" i="8"/>
  <c r="I68" i="1"/>
  <c r="I83" i="1"/>
  <c r="K1136" i="8"/>
  <c r="K1138" i="8" s="1"/>
  <c r="I109" i="1"/>
  <c r="I16" i="1"/>
  <c r="I65" i="1"/>
  <c r="K94" i="1"/>
  <c r="Q94" i="1"/>
  <c r="G883" i="8"/>
  <c r="N85" i="1" s="1"/>
  <c r="G885" i="8"/>
  <c r="P85" i="1" s="1"/>
  <c r="K1286" i="8"/>
  <c r="G1092" i="8"/>
  <c r="P30" i="1" s="1"/>
  <c r="G1090" i="8"/>
  <c r="N30" i="1" s="1"/>
  <c r="K89" i="1"/>
  <c r="K49" i="1"/>
  <c r="I101" i="1"/>
  <c r="K996" i="8"/>
  <c r="Q79" i="1" s="1"/>
  <c r="Q29" i="1"/>
  <c r="K29" i="1"/>
  <c r="K497" i="8"/>
  <c r="I86" i="1"/>
  <c r="K57" i="1"/>
  <c r="K433" i="8"/>
  <c r="K754" i="8"/>
  <c r="K1370" i="8"/>
  <c r="K95" i="1"/>
  <c r="K91" i="1"/>
  <c r="K817" i="8"/>
  <c r="K949" i="8"/>
  <c r="K28" i="1"/>
  <c r="K544" i="8"/>
  <c r="Q58" i="1" s="1"/>
  <c r="K58" i="1"/>
  <c r="Y644" i="8"/>
  <c r="Y819" i="8"/>
  <c r="G817" i="8" s="1"/>
  <c r="G815" i="8"/>
  <c r="G1284" i="8"/>
  <c r="Y1288" i="8"/>
  <c r="G1286" i="8" s="1"/>
  <c r="Y114" i="8"/>
  <c r="G915" i="8"/>
  <c r="N40" i="1" s="1"/>
  <c r="G917" i="8"/>
  <c r="P40" i="1" s="1"/>
  <c r="Y515" i="8"/>
  <c r="G1318" i="8"/>
  <c r="Y1322" i="8"/>
  <c r="G1320" i="8" s="1"/>
  <c r="Y50" i="8"/>
  <c r="G304" i="8"/>
  <c r="Y308" i="8"/>
  <c r="G306" i="8" s="1"/>
  <c r="Y34" i="8"/>
  <c r="G610" i="8"/>
  <c r="P48" i="1" s="1"/>
  <c r="G608" i="8"/>
  <c r="N48" i="1" s="1"/>
  <c r="G722" i="8"/>
  <c r="G720" i="8"/>
  <c r="G1044" i="8"/>
  <c r="P22" i="1" s="1"/>
  <c r="G1042" i="8"/>
  <c r="N22" i="1" s="1"/>
  <c r="G594" i="8"/>
  <c r="P51" i="1" s="1"/>
  <c r="G592" i="8"/>
  <c r="N51" i="1" s="1"/>
  <c r="Y1062" i="8"/>
  <c r="G799" i="8"/>
  <c r="Y803" i="8"/>
  <c r="G801" i="8" s="1"/>
  <c r="G994" i="8"/>
  <c r="N79" i="1" s="1"/>
  <c r="G996" i="8"/>
  <c r="P79" i="1" s="1"/>
  <c r="G869" i="8"/>
  <c r="P43" i="1" s="1"/>
  <c r="G867" i="8"/>
  <c r="N43" i="1" s="1"/>
  <c r="G1252" i="8"/>
  <c r="P68" i="1" s="1"/>
  <c r="G1250" i="8"/>
  <c r="N68" i="1" s="1"/>
  <c r="K418" i="8"/>
  <c r="Q100" i="1" s="1"/>
  <c r="K100" i="1"/>
  <c r="K509" i="8"/>
  <c r="K511" i="8" s="1"/>
  <c r="I88" i="1"/>
  <c r="Y98" i="8"/>
  <c r="U751" i="8"/>
  <c r="K1120" i="8"/>
  <c r="K1122" i="8" s="1"/>
  <c r="I80" i="1"/>
  <c r="Y983" i="8"/>
  <c r="G256" i="8"/>
  <c r="N84" i="1" s="1"/>
  <c r="Y772" i="8"/>
  <c r="G770" i="8" s="1"/>
  <c r="G768" i="8"/>
  <c r="Y1435" i="8"/>
  <c r="G1433" i="8" s="1"/>
  <c r="P113" i="1" s="1"/>
  <c r="G1431" i="8"/>
  <c r="N113" i="1" s="1"/>
  <c r="K206" i="8"/>
  <c r="K208" i="8" s="1"/>
  <c r="I90" i="1"/>
  <c r="Y1372" i="8"/>
  <c r="Y18" i="8"/>
  <c r="Y1388" i="8"/>
  <c r="G1386" i="8" s="1"/>
  <c r="G1384" i="8"/>
  <c r="G192" i="8"/>
  <c r="Y196" i="8"/>
  <c r="G194" i="8" s="1"/>
  <c r="Y82" i="8"/>
  <c r="K16" i="1" l="1"/>
  <c r="K1220" i="8"/>
  <c r="Q16" i="1" s="1"/>
  <c r="U545" i="8"/>
  <c r="W545" i="8" s="1"/>
  <c r="Y545" i="8" s="1"/>
  <c r="W546" i="8" s="1"/>
  <c r="Y546" i="8" s="1"/>
  <c r="U547" i="8" s="1"/>
  <c r="W1219" i="8"/>
  <c r="K965" i="8"/>
  <c r="K24" i="1"/>
  <c r="K50" i="1"/>
  <c r="K642" i="8"/>
  <c r="Q50" i="1" s="1"/>
  <c r="U524" i="8"/>
  <c r="W524" i="8" s="1"/>
  <c r="Y524" i="8" s="1"/>
  <c r="U1055" i="8"/>
  <c r="U1135" i="8"/>
  <c r="W1135" i="8" s="1"/>
  <c r="Y1135" i="8" s="1"/>
  <c r="K1152" i="8"/>
  <c r="K1154" i="8" s="1"/>
  <c r="K1156" i="8" s="1"/>
  <c r="Q93" i="1" s="1"/>
  <c r="Q103" i="1"/>
  <c r="K899" i="8"/>
  <c r="K901" i="8" s="1"/>
  <c r="I63" i="1"/>
  <c r="Q28" i="1"/>
  <c r="Q18" i="1"/>
  <c r="K18" i="1"/>
  <c r="K101" i="1"/>
  <c r="I30" i="1"/>
  <c r="Q35" i="1"/>
  <c r="K1092" i="8"/>
  <c r="K30" i="1"/>
  <c r="I50" i="1"/>
  <c r="K1074" i="8"/>
  <c r="W492" i="8"/>
  <c r="Y492" i="8" s="1"/>
  <c r="W124" i="8"/>
  <c r="Y124" i="8" s="1"/>
  <c r="U125" i="8" s="1"/>
  <c r="K64" i="1"/>
  <c r="K84" i="1"/>
  <c r="K258" i="8"/>
  <c r="Q84" i="1" s="1"/>
  <c r="Q91" i="1"/>
  <c r="K481" i="8"/>
  <c r="Q59" i="1" s="1"/>
  <c r="K59" i="1"/>
  <c r="I59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K43" i="1"/>
  <c r="K869" i="8"/>
  <c r="Q43" i="1" s="1"/>
  <c r="Q44" i="1"/>
  <c r="I14" i="1"/>
  <c r="K108" i="1"/>
  <c r="K1353" i="8"/>
  <c r="Q108" i="1" s="1"/>
  <c r="S42" i="1"/>
  <c r="K48" i="1"/>
  <c r="K610" i="8"/>
  <c r="Q48" i="1" s="1"/>
  <c r="I37" i="1"/>
  <c r="Q56" i="1"/>
  <c r="K37" i="1"/>
  <c r="K1188" i="8"/>
  <c r="Q37" i="1" s="1"/>
  <c r="K36" i="1"/>
  <c r="C658" i="8"/>
  <c r="I654" i="8" s="1"/>
  <c r="K654" i="8" s="1"/>
  <c r="K656" i="8" s="1"/>
  <c r="K658" i="8" s="1"/>
  <c r="Q52" i="1" s="1"/>
  <c r="K109" i="1"/>
  <c r="K370" i="8"/>
  <c r="Q109" i="1" s="1"/>
  <c r="S109" i="1" s="1"/>
  <c r="C1012" i="8"/>
  <c r="I1008" i="8" s="1"/>
  <c r="C322" i="8"/>
  <c r="I318" i="8" s="1"/>
  <c r="K23" i="1"/>
  <c r="Q65" i="1"/>
  <c r="Q49" i="1"/>
  <c r="K35" i="1"/>
  <c r="I35" i="1"/>
  <c r="Q41" i="1"/>
  <c r="K73" i="1"/>
  <c r="Q85" i="1"/>
  <c r="K85" i="1"/>
  <c r="W960" i="8"/>
  <c r="Q11" i="1"/>
  <c r="S11" i="1"/>
  <c r="R68" i="1"/>
  <c r="R81" i="1"/>
  <c r="S79" i="1"/>
  <c r="I92" i="1"/>
  <c r="Q87" i="1"/>
  <c r="Q97" i="1"/>
  <c r="K97" i="1"/>
  <c r="K398" i="8"/>
  <c r="K400" i="8" s="1"/>
  <c r="K104" i="1" s="1"/>
  <c r="I97" i="1"/>
  <c r="D7" i="1"/>
  <c r="W333" i="8"/>
  <c r="Y333" i="8" s="1"/>
  <c r="U334" i="8" s="1"/>
  <c r="W156" i="8"/>
  <c r="Y156" i="8" s="1"/>
  <c r="U157" i="8" s="1"/>
  <c r="W157" i="8" s="1"/>
  <c r="W444" i="8"/>
  <c r="Y444" i="8" s="1"/>
  <c r="U445" i="8" s="1"/>
  <c r="U209" i="8"/>
  <c r="W209" i="8" s="1"/>
  <c r="Y209" i="8" s="1"/>
  <c r="W1007" i="8"/>
  <c r="Y1007" i="8" s="1"/>
  <c r="U1008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62" i="8"/>
  <c r="Y1462" i="8" s="1"/>
  <c r="U1463" i="8" s="1"/>
  <c r="U1121" i="8"/>
  <c r="W1121" i="8" s="1"/>
  <c r="Y1121" i="8" s="1"/>
  <c r="W669" i="8"/>
  <c r="Y669" i="8" s="1"/>
  <c r="U670" i="8" s="1"/>
  <c r="W221" i="8"/>
  <c r="Y221" i="8" s="1"/>
  <c r="U222" i="8" s="1"/>
  <c r="Y789" i="8"/>
  <c r="G786" i="8" s="1"/>
  <c r="G784" i="8"/>
  <c r="W238" i="8"/>
  <c r="Y238" i="8" s="1"/>
  <c r="G258" i="8"/>
  <c r="P84" i="1" s="1"/>
  <c r="K849" i="8"/>
  <c r="K851" i="8" s="1"/>
  <c r="G286" i="8"/>
  <c r="L89" i="1" s="1"/>
  <c r="W292" i="8"/>
  <c r="G254" i="8"/>
  <c r="L84" i="1" s="1"/>
  <c r="K1449" i="8"/>
  <c r="Q99" i="1" s="1"/>
  <c r="S99" i="1" s="1"/>
  <c r="K99" i="1"/>
  <c r="I99" i="1"/>
  <c r="Q101" i="1"/>
  <c r="I67" i="1"/>
  <c r="K594" i="8"/>
  <c r="K51" i="1"/>
  <c r="K354" i="8"/>
  <c r="K67" i="1"/>
  <c r="G1332" i="8"/>
  <c r="L81" i="1" s="1"/>
  <c r="I105" i="1"/>
  <c r="K105" i="1"/>
  <c r="K1418" i="8"/>
  <c r="Q105" i="1" s="1"/>
  <c r="G1334" i="8"/>
  <c r="N81" i="1" s="1"/>
  <c r="W401" i="8"/>
  <c r="Y401" i="8" s="1"/>
  <c r="U1367" i="8"/>
  <c r="W1367" i="8" s="1"/>
  <c r="Y1367" i="8" s="1"/>
  <c r="W637" i="8"/>
  <c r="Y637" i="8" s="1"/>
  <c r="K69" i="1"/>
  <c r="K670" i="8"/>
  <c r="K672" i="8" s="1"/>
  <c r="K110" i="1"/>
  <c r="Q110" i="1"/>
  <c r="I110" i="1"/>
  <c r="Q36" i="1"/>
  <c r="G901" i="8"/>
  <c r="P96" i="1" s="1"/>
  <c r="G897" i="8"/>
  <c r="Q38" i="1"/>
  <c r="Q95" i="1"/>
  <c r="G899" i="8"/>
  <c r="N96" i="1" s="1"/>
  <c r="K22" i="1"/>
  <c r="K1044" i="8"/>
  <c r="I40" i="1"/>
  <c r="K40" i="1"/>
  <c r="Q40" i="1"/>
  <c r="W751" i="8"/>
  <c r="Y476" i="8"/>
  <c r="K1402" i="8"/>
  <c r="K86" i="1"/>
  <c r="Q86" i="1"/>
  <c r="K65" i="1"/>
  <c r="K1172" i="8"/>
  <c r="Q106" i="1" s="1"/>
  <c r="K706" i="8"/>
  <c r="W984" i="8"/>
  <c r="Y984" i="8" s="1"/>
  <c r="G981" i="8" s="1"/>
  <c r="P86" i="1" s="1"/>
  <c r="W1373" i="8"/>
  <c r="Y1373" i="8" s="1"/>
  <c r="W1063" i="8"/>
  <c r="W516" i="8"/>
  <c r="K83" i="1"/>
  <c r="Q31" i="1"/>
  <c r="K88" i="1"/>
  <c r="K513" i="8"/>
  <c r="Q88" i="1" s="1"/>
  <c r="K92" i="1"/>
  <c r="U51" i="8"/>
  <c r="U83" i="8"/>
  <c r="U19" i="8"/>
  <c r="U99" i="8"/>
  <c r="U35" i="8"/>
  <c r="U115" i="8"/>
  <c r="K1124" i="8"/>
  <c r="Q80" i="1" s="1"/>
  <c r="S80" i="1" s="1"/>
  <c r="K80" i="1"/>
  <c r="K210" i="8"/>
  <c r="K90" i="1"/>
  <c r="Q60" i="1" l="1"/>
  <c r="Q30" i="1"/>
  <c r="Q32" i="1" s="1"/>
  <c r="K1093" i="8"/>
  <c r="T61" i="1"/>
  <c r="Y1219" i="8"/>
  <c r="U46" i="1"/>
  <c r="Q24" i="1"/>
  <c r="S24" i="1" s="1"/>
  <c r="U1136" i="8"/>
  <c r="W1136" i="8" s="1"/>
  <c r="Y1136" i="8" s="1"/>
  <c r="U493" i="8"/>
  <c r="W493" i="8" s="1"/>
  <c r="Y493" i="8" s="1"/>
  <c r="U525" i="8"/>
  <c r="W525" i="8" s="1"/>
  <c r="Y525" i="8" s="1"/>
  <c r="K93" i="1"/>
  <c r="W1055" i="8"/>
  <c r="Y1055" i="8" s="1"/>
  <c r="U1056" i="8" s="1"/>
  <c r="Q51" i="1"/>
  <c r="R51" i="1" s="1"/>
  <c r="R53" i="1" s="1"/>
  <c r="K96" i="1"/>
  <c r="U103" i="1"/>
  <c r="K461" i="8"/>
  <c r="K463" i="8" s="1"/>
  <c r="K465" i="8" s="1"/>
  <c r="Q63" i="1" s="1"/>
  <c r="S28" i="1"/>
  <c r="Q67" i="1"/>
  <c r="Q96" i="1"/>
  <c r="Q83" i="1"/>
  <c r="Q22" i="1"/>
  <c r="D48" i="1"/>
  <c r="Q90" i="1"/>
  <c r="S90" i="1" s="1"/>
  <c r="W125" i="8"/>
  <c r="Y125" i="8" s="1"/>
  <c r="U126" i="8" s="1"/>
  <c r="K98" i="1"/>
  <c r="Q98" i="1"/>
  <c r="S85" i="1"/>
  <c r="L96" i="1"/>
  <c r="P103" i="1"/>
  <c r="I39" i="1"/>
  <c r="K157" i="8"/>
  <c r="K159" i="8" s="1"/>
  <c r="K161" i="8" s="1"/>
  <c r="Q14" i="1" s="1"/>
  <c r="S43" i="1"/>
  <c r="S74" i="1" s="1"/>
  <c r="Q64" i="1"/>
  <c r="Q23" i="1"/>
  <c r="K52" i="1"/>
  <c r="I52" i="1"/>
  <c r="G418" i="8"/>
  <c r="P100" i="1" s="1"/>
  <c r="C690" i="8"/>
  <c r="I686" i="8" s="1"/>
  <c r="Q66" i="1"/>
  <c r="K1008" i="8"/>
  <c r="K1010" i="8" s="1"/>
  <c r="S86" i="1"/>
  <c r="K318" i="8"/>
  <c r="K320" i="8" s="1"/>
  <c r="K322" i="8" s="1"/>
  <c r="K102" i="1"/>
  <c r="K674" i="8"/>
  <c r="Q102" i="1" s="1"/>
  <c r="Q73" i="1"/>
  <c r="E135" i="1" s="1"/>
  <c r="Y1072" i="8"/>
  <c r="U1073" i="8" s="1"/>
  <c r="Q111" i="1"/>
  <c r="Y960" i="8"/>
  <c r="U961" i="8" s="1"/>
  <c r="D93" i="1"/>
  <c r="S87" i="1"/>
  <c r="K402" i="8"/>
  <c r="Q104" i="1" s="1"/>
  <c r="S104" i="1" s="1"/>
  <c r="Y516" i="8"/>
  <c r="G513" i="8" s="1"/>
  <c r="P88" i="1" s="1"/>
  <c r="G511" i="8"/>
  <c r="N88" i="1" s="1"/>
  <c r="Y1063" i="8"/>
  <c r="W1463" i="8"/>
  <c r="Y1463" i="8" s="1"/>
  <c r="U1464" i="8" s="1"/>
  <c r="W1008" i="8"/>
  <c r="Y1008" i="8" s="1"/>
  <c r="U1009" i="8" s="1"/>
  <c r="U210" i="8"/>
  <c r="W210" i="8" s="1"/>
  <c r="Y210" i="8" s="1"/>
  <c r="Y157" i="8"/>
  <c r="U158" i="8" s="1"/>
  <c r="G979" i="8"/>
  <c r="N86" i="1" s="1"/>
  <c r="G1264" i="8"/>
  <c r="L42" i="1" s="1"/>
  <c r="G463" i="8"/>
  <c r="N63" i="1" s="1"/>
  <c r="W222" i="8"/>
  <c r="Y222" i="8" s="1"/>
  <c r="U223" i="8" s="1"/>
  <c r="W670" i="8"/>
  <c r="Y670" i="8" s="1"/>
  <c r="U671" i="8" s="1"/>
  <c r="U1122" i="8"/>
  <c r="W1122" i="8" s="1"/>
  <c r="Y1122" i="8" s="1"/>
  <c r="W350" i="8"/>
  <c r="Y350" i="8" s="1"/>
  <c r="U351" i="8" s="1"/>
  <c r="W445" i="8"/>
  <c r="Y445" i="8" s="1"/>
  <c r="U446" i="8" s="1"/>
  <c r="W334" i="8"/>
  <c r="Y334" i="8" s="1"/>
  <c r="U335" i="8" s="1"/>
  <c r="G1204" i="8"/>
  <c r="P64" i="1" s="1"/>
  <c r="G1202" i="8"/>
  <c r="N64" i="1" s="1"/>
  <c r="W547" i="8"/>
  <c r="G540" i="8"/>
  <c r="L58" i="1" s="1"/>
  <c r="K112" i="1"/>
  <c r="Q112" i="1"/>
  <c r="S112" i="1" s="1"/>
  <c r="W239" i="8"/>
  <c r="Y239" i="8" s="1"/>
  <c r="G1024" i="8"/>
  <c r="L23" i="1" s="1"/>
  <c r="G929" i="8"/>
  <c r="L111" i="1" s="1"/>
  <c r="G1445" i="8"/>
  <c r="L99" i="1" s="1"/>
  <c r="Y292" i="8"/>
  <c r="G290" i="8" s="1"/>
  <c r="P89" i="1" s="1"/>
  <c r="G288" i="8"/>
  <c r="N89" i="1" s="1"/>
  <c r="D110" i="1"/>
  <c r="U1368" i="8"/>
  <c r="W1368" i="8" s="1"/>
  <c r="Y1368" i="8" s="1"/>
  <c r="U1369" i="8" s="1"/>
  <c r="W638" i="8"/>
  <c r="Y638" i="8" s="1"/>
  <c r="Y751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T74" i="1" l="1"/>
  <c r="T72" i="1"/>
  <c r="U1220" i="8"/>
  <c r="W1220" i="8" s="1"/>
  <c r="Y1220" i="8" s="1"/>
  <c r="U1221" i="8" s="1"/>
  <c r="Q70" i="1"/>
  <c r="U1137" i="8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U526" i="8"/>
  <c r="W526" i="8" s="1"/>
  <c r="Y526" i="8" s="1"/>
  <c r="U494" i="8"/>
  <c r="W494" i="8" s="1"/>
  <c r="Y494" i="8" s="1"/>
  <c r="U495" i="8" s="1"/>
  <c r="U72" i="1"/>
  <c r="Q25" i="1"/>
  <c r="U76" i="1"/>
  <c r="K63" i="1"/>
  <c r="K686" i="8"/>
  <c r="K688" i="8" s="1"/>
  <c r="K47" i="1" s="1"/>
  <c r="S22" i="1"/>
  <c r="S25" i="1" s="1"/>
  <c r="S45" i="1"/>
  <c r="W126" i="8"/>
  <c r="Y126" i="8" s="1"/>
  <c r="K114" i="1"/>
  <c r="Q39" i="1"/>
  <c r="Q45" i="1" s="1"/>
  <c r="K14" i="1"/>
  <c r="U40" i="1"/>
  <c r="G416" i="8"/>
  <c r="N100" i="1" s="1"/>
  <c r="G414" i="8"/>
  <c r="L100" i="1" s="1"/>
  <c r="I114" i="1"/>
  <c r="K39" i="1"/>
  <c r="W1073" i="8"/>
  <c r="W961" i="8"/>
  <c r="G1232" i="8"/>
  <c r="L31" i="1" s="1"/>
  <c r="W158" i="8"/>
  <c r="Y158" i="8" s="1"/>
  <c r="U159" i="8" s="1"/>
  <c r="W1009" i="8"/>
  <c r="Y1009" i="8" s="1"/>
  <c r="U1010" i="8" s="1"/>
  <c r="U211" i="8"/>
  <c r="W211" i="8" s="1"/>
  <c r="Y211" i="8" s="1"/>
  <c r="U212" i="8" s="1"/>
  <c r="W212" i="8" s="1"/>
  <c r="Y212" i="8" s="1"/>
  <c r="U213" i="8" s="1"/>
  <c r="W1464" i="8"/>
  <c r="Y1464" i="8" s="1"/>
  <c r="U1465" i="8" s="1"/>
  <c r="W446" i="8"/>
  <c r="Y446" i="8" s="1"/>
  <c r="U447" i="8" s="1"/>
  <c r="W351" i="8"/>
  <c r="Y351" i="8" s="1"/>
  <c r="U352" i="8" s="1"/>
  <c r="U1123" i="8"/>
  <c r="W1123" i="8" s="1"/>
  <c r="Y1123" i="8" s="1"/>
  <c r="W223" i="8"/>
  <c r="Y223" i="8" s="1"/>
  <c r="U224" i="8" s="1"/>
  <c r="L94" i="1"/>
  <c r="Y547" i="8"/>
  <c r="G544" i="8" s="1"/>
  <c r="P58" i="1" s="1"/>
  <c r="G542" i="8"/>
  <c r="N58" i="1" s="1"/>
  <c r="W335" i="8"/>
  <c r="Y335" i="8" s="1"/>
  <c r="U336" i="8" s="1"/>
  <c r="W671" i="8"/>
  <c r="Y671" i="8" s="1"/>
  <c r="U672" i="8" s="1"/>
  <c r="G1268" i="8"/>
  <c r="P42" i="1" s="1"/>
  <c r="G1266" i="8"/>
  <c r="N42" i="1" s="1"/>
  <c r="G1236" i="8"/>
  <c r="P31" i="1" s="1"/>
  <c r="G1234" i="8"/>
  <c r="N31" i="1" s="1"/>
  <c r="W240" i="8"/>
  <c r="Y240" i="8" s="1"/>
  <c r="G1028" i="8"/>
  <c r="P23" i="1" s="1"/>
  <c r="G1026" i="8"/>
  <c r="N23" i="1" s="1"/>
  <c r="G933" i="8"/>
  <c r="P111" i="1" s="1"/>
  <c r="G931" i="8"/>
  <c r="N111" i="1" s="1"/>
  <c r="G1449" i="8"/>
  <c r="P99" i="1" s="1"/>
  <c r="G1447" i="8"/>
  <c r="N99" i="1" s="1"/>
  <c r="W402" i="8"/>
  <c r="W1369" i="8"/>
  <c r="W639" i="8"/>
  <c r="Y639" i="8" s="1"/>
  <c r="U752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U127" i="8" l="1"/>
  <c r="W127" i="8" s="1"/>
  <c r="Y127" i="8" s="1"/>
  <c r="U128" i="8" s="1"/>
  <c r="W128" i="8" s="1"/>
  <c r="Y128" i="8" s="1"/>
  <c r="U129" i="8" s="1"/>
  <c r="W129" i="8" s="1"/>
  <c r="Y129" i="8" s="1"/>
  <c r="U130" i="8" s="1"/>
  <c r="W1221" i="8"/>
  <c r="Y1221" i="8" s="1"/>
  <c r="G1216" i="8"/>
  <c r="L16" i="1" s="1"/>
  <c r="E131" i="1"/>
  <c r="U49" i="1"/>
  <c r="U527" i="8"/>
  <c r="W527" i="8" s="1"/>
  <c r="Y527" i="8" s="1"/>
  <c r="U528" i="8" s="1"/>
  <c r="T46" i="1"/>
  <c r="T75" i="1"/>
  <c r="P6" i="12"/>
  <c r="R6" i="12" s="1"/>
  <c r="E129" i="1"/>
  <c r="I47" i="1"/>
  <c r="K690" i="8"/>
  <c r="Q47" i="1" s="1"/>
  <c r="Q53" i="1" s="1"/>
  <c r="T53" i="1" s="1"/>
  <c r="Q74" i="1"/>
  <c r="Y1140" i="8"/>
  <c r="V73" i="1"/>
  <c r="E134" i="1"/>
  <c r="W528" i="8"/>
  <c r="Y528" i="8" s="1"/>
  <c r="U529" i="8" s="1"/>
  <c r="Q114" i="1"/>
  <c r="W241" i="8"/>
  <c r="Y241" i="8" s="1"/>
  <c r="Y1073" i="8"/>
  <c r="U1074" i="8" s="1"/>
  <c r="Y961" i="8"/>
  <c r="U962" i="8" s="1"/>
  <c r="W159" i="8"/>
  <c r="Y159" i="8" s="1"/>
  <c r="U160" i="8" s="1"/>
  <c r="W1465" i="8"/>
  <c r="Y1465" i="8" s="1"/>
  <c r="U1466" i="8" s="1"/>
  <c r="G206" i="8"/>
  <c r="L90" i="1" s="1"/>
  <c r="W213" i="8"/>
  <c r="W1010" i="8"/>
  <c r="Y1010" i="8" s="1"/>
  <c r="U1011" i="8" s="1"/>
  <c r="W336" i="8"/>
  <c r="Y336" i="8" s="1"/>
  <c r="U337" i="8" s="1"/>
  <c r="U1124" i="8"/>
  <c r="W1124" i="8" s="1"/>
  <c r="Y1124" i="8" s="1"/>
  <c r="G654" i="8"/>
  <c r="L52" i="1" s="1"/>
  <c r="P94" i="1"/>
  <c r="N94" i="1"/>
  <c r="W672" i="8"/>
  <c r="Y672" i="8" s="1"/>
  <c r="U673" i="8" s="1"/>
  <c r="W224" i="8"/>
  <c r="Y224" i="8" s="1"/>
  <c r="U225" i="8" s="1"/>
  <c r="W352" i="8"/>
  <c r="Y352" i="8" s="1"/>
  <c r="U353" i="8" s="1"/>
  <c r="W447" i="8"/>
  <c r="Y447" i="8" s="1"/>
  <c r="U448" i="8" s="1"/>
  <c r="W242" i="8"/>
  <c r="Y242" i="8" s="1"/>
  <c r="Y402" i="8"/>
  <c r="Y1369" i="8"/>
  <c r="W640" i="8"/>
  <c r="Y640" i="8" s="1"/>
  <c r="W641" i="8" s="1"/>
  <c r="W495" i="8"/>
  <c r="Y495" i="8" s="1"/>
  <c r="W752" i="8"/>
  <c r="Y477" i="8"/>
  <c r="V53" i="1" l="1"/>
  <c r="T54" i="1"/>
  <c r="G1218" i="8"/>
  <c r="N16" i="1" s="1"/>
  <c r="Q15" i="12"/>
  <c r="P15" i="12"/>
  <c r="X65" i="1"/>
  <c r="P8" i="12"/>
  <c r="R8" i="12" s="1"/>
  <c r="D114" i="1"/>
  <c r="W1074" i="8"/>
  <c r="W962" i="8"/>
  <c r="W225" i="8"/>
  <c r="Y225" i="8" s="1"/>
  <c r="U226" i="8" s="1"/>
  <c r="W226" i="8" s="1"/>
  <c r="G702" i="8"/>
  <c r="L66" i="1" s="1"/>
  <c r="G366" i="8"/>
  <c r="L109" i="1" s="1"/>
  <c r="W337" i="8"/>
  <c r="Y337" i="8" s="1"/>
  <c r="U338" i="8" s="1"/>
  <c r="W448" i="8"/>
  <c r="Y448" i="8" s="1"/>
  <c r="U449" i="8" s="1"/>
  <c r="W673" i="8"/>
  <c r="Y673" i="8" s="1"/>
  <c r="U674" i="8" s="1"/>
  <c r="U1125" i="8"/>
  <c r="W1125" i="8" s="1"/>
  <c r="Y1125" i="8" s="1"/>
  <c r="W130" i="8"/>
  <c r="Y130" i="8" s="1"/>
  <c r="W1466" i="8"/>
  <c r="Y1466" i="8" s="1"/>
  <c r="U1467" i="8" s="1"/>
  <c r="W353" i="8"/>
  <c r="Y353" i="8" s="1"/>
  <c r="U354" i="8" s="1"/>
  <c r="W1011" i="8"/>
  <c r="Y1011" i="8" s="1"/>
  <c r="U1012" i="8" s="1"/>
  <c r="W160" i="8"/>
  <c r="Y160" i="8" s="1"/>
  <c r="U161" i="8" s="1"/>
  <c r="Y213" i="8"/>
  <c r="G210" i="8" s="1"/>
  <c r="P90" i="1" s="1"/>
  <c r="G208" i="8"/>
  <c r="N90" i="1" s="1"/>
  <c r="G658" i="8"/>
  <c r="P52" i="1" s="1"/>
  <c r="G656" i="8"/>
  <c r="N52" i="1" s="1"/>
  <c r="W243" i="8"/>
  <c r="Y243" i="8" s="1"/>
  <c r="U244" i="8" s="1"/>
  <c r="W403" i="8"/>
  <c r="U1370" i="8"/>
  <c r="Y641" i="8"/>
  <c r="W496" i="8"/>
  <c r="Y752" i="8"/>
  <c r="U478" i="8"/>
  <c r="U1222" i="8" l="1"/>
  <c r="W1222" i="8" s="1"/>
  <c r="Y1222" i="8" s="1"/>
  <c r="G1220" i="8"/>
  <c r="P16" i="1" s="1"/>
  <c r="R15" i="12"/>
  <c r="E132" i="1"/>
  <c r="P156" i="1"/>
  <c r="W529" i="8"/>
  <c r="W1141" i="8"/>
  <c r="Y1074" i="8"/>
  <c r="Y962" i="8"/>
  <c r="U963" i="8" s="1"/>
  <c r="W449" i="8"/>
  <c r="Y449" i="8" s="1"/>
  <c r="U450" i="8" s="1"/>
  <c r="W161" i="8"/>
  <c r="Y161" i="8" s="1"/>
  <c r="U162" i="8" s="1"/>
  <c r="W1467" i="8"/>
  <c r="Y1467" i="8" s="1"/>
  <c r="U1468" i="8" s="1"/>
  <c r="W1012" i="8"/>
  <c r="Y1012" i="8" s="1"/>
  <c r="U1013" i="8" s="1"/>
  <c r="W131" i="8"/>
  <c r="Y131" i="8" s="1"/>
  <c r="U1126" i="8"/>
  <c r="W1126" i="8" s="1"/>
  <c r="Y1126" i="8" s="1"/>
  <c r="U1127" i="8" s="1"/>
  <c r="W338" i="8"/>
  <c r="Y338" i="8" s="1"/>
  <c r="U339" i="8" s="1"/>
  <c r="W354" i="8"/>
  <c r="Y354" i="8" s="1"/>
  <c r="U355" i="8" s="1"/>
  <c r="W674" i="8"/>
  <c r="Y674" i="8" s="1"/>
  <c r="U675" i="8" s="1"/>
  <c r="G686" i="8"/>
  <c r="L47" i="1" s="1"/>
  <c r="Y226" i="8"/>
  <c r="U227" i="8" s="1"/>
  <c r="G370" i="8"/>
  <c r="P109" i="1" s="1"/>
  <c r="G368" i="8"/>
  <c r="N109" i="1" s="1"/>
  <c r="G622" i="8"/>
  <c r="L49" i="1" s="1"/>
  <c r="G706" i="8"/>
  <c r="P66" i="1" s="1"/>
  <c r="G704" i="8"/>
  <c r="N66" i="1" s="1"/>
  <c r="G945" i="8"/>
  <c r="L28" i="1" s="1"/>
  <c r="W244" i="8"/>
  <c r="Y244" i="8" s="1"/>
  <c r="Y403" i="8"/>
  <c r="W1370" i="8"/>
  <c r="G1366" i="8"/>
  <c r="L95" i="1" s="1"/>
  <c r="W1371" i="8"/>
  <c r="Y1371" i="8" s="1"/>
  <c r="W642" i="8"/>
  <c r="Y496" i="8"/>
  <c r="U497" i="8" s="1"/>
  <c r="U753" i="8"/>
  <c r="W478" i="8"/>
  <c r="Y529" i="8" l="1"/>
  <c r="Y1141" i="8"/>
  <c r="W450" i="8"/>
  <c r="Y450" i="8" s="1"/>
  <c r="Y642" i="8"/>
  <c r="W963" i="8"/>
  <c r="U1075" i="8"/>
  <c r="G1120" i="8"/>
  <c r="L80" i="1" s="1"/>
  <c r="W1127" i="8"/>
  <c r="W1468" i="8"/>
  <c r="Y1468" i="8" s="1"/>
  <c r="U1469" i="8" s="1"/>
  <c r="W339" i="8"/>
  <c r="Y339" i="8" s="1"/>
  <c r="W675" i="8"/>
  <c r="Y675" i="8" s="1"/>
  <c r="G125" i="8"/>
  <c r="L18" i="1" s="1"/>
  <c r="W132" i="8"/>
  <c r="W355" i="8"/>
  <c r="Y355" i="8" s="1"/>
  <c r="W1013" i="8"/>
  <c r="Y1013" i="8" s="1"/>
  <c r="U1014" i="8" s="1"/>
  <c r="W162" i="8"/>
  <c r="Y162" i="8" s="1"/>
  <c r="G688" i="8"/>
  <c r="N47" i="1" s="1"/>
  <c r="G690" i="8"/>
  <c r="P47" i="1" s="1"/>
  <c r="G382" i="8"/>
  <c r="L91" i="1" s="1"/>
  <c r="G849" i="8"/>
  <c r="L112" i="1" s="1"/>
  <c r="G626" i="8"/>
  <c r="P49" i="1" s="1"/>
  <c r="G624" i="8"/>
  <c r="N49" i="1" s="1"/>
  <c r="G429" i="8"/>
  <c r="L41" i="1" s="1"/>
  <c r="G949" i="8"/>
  <c r="P28" i="1" s="1"/>
  <c r="G947" i="8"/>
  <c r="N28" i="1" s="1"/>
  <c r="W404" i="8"/>
  <c r="Y404" i="8" s="1"/>
  <c r="Y1370" i="8"/>
  <c r="G1370" i="8" s="1"/>
  <c r="P95" i="1" s="1"/>
  <c r="G1368" i="8"/>
  <c r="N95" i="1" s="1"/>
  <c r="W497" i="8"/>
  <c r="Y497" i="8" s="1"/>
  <c r="U498" i="8" s="1"/>
  <c r="W753" i="8"/>
  <c r="Y478" i="8"/>
  <c r="U479" i="8" s="1"/>
  <c r="G1136" i="8" l="1"/>
  <c r="L83" i="1" s="1"/>
  <c r="G445" i="8"/>
  <c r="L44" i="1" s="1"/>
  <c r="G524" i="8"/>
  <c r="L56" i="1" s="1"/>
  <c r="W498" i="8"/>
  <c r="Y498" i="8" s="1"/>
  <c r="W227" i="8"/>
  <c r="W643" i="8"/>
  <c r="W1075" i="8"/>
  <c r="Y963" i="8"/>
  <c r="G465" i="8"/>
  <c r="P63" i="1" s="1"/>
  <c r="W356" i="8"/>
  <c r="Y356" i="8" s="1"/>
  <c r="U676" i="8"/>
  <c r="W676" i="8" s="1"/>
  <c r="Y676" i="8" s="1"/>
  <c r="U677" i="8" s="1"/>
  <c r="W677" i="8" s="1"/>
  <c r="W340" i="8"/>
  <c r="Y340" i="8" s="1"/>
  <c r="W341" i="8" s="1"/>
  <c r="W1469" i="8"/>
  <c r="Y1469" i="8" s="1"/>
  <c r="W163" i="8"/>
  <c r="Y163" i="8" s="1"/>
  <c r="G1300" i="8"/>
  <c r="L110" i="1" s="1"/>
  <c r="G574" i="8"/>
  <c r="L92" i="1" s="1"/>
  <c r="W1014" i="8"/>
  <c r="Y1014" i="8" s="1"/>
  <c r="U1015" i="8" s="1"/>
  <c r="G734" i="8"/>
  <c r="L57" i="1" s="1"/>
  <c r="G1349" i="8"/>
  <c r="L108" i="1" s="1"/>
  <c r="Y1127" i="8"/>
  <c r="G1124" i="8" s="1"/>
  <c r="P80" i="1" s="1"/>
  <c r="G1122" i="8"/>
  <c r="N80" i="1" s="1"/>
  <c r="Y132" i="8"/>
  <c r="G129" i="8" s="1"/>
  <c r="P18" i="1" s="1"/>
  <c r="G127" i="8"/>
  <c r="N18" i="1" s="1"/>
  <c r="G433" i="8"/>
  <c r="P41" i="1" s="1"/>
  <c r="G431" i="8"/>
  <c r="N41" i="1" s="1"/>
  <c r="G853" i="8"/>
  <c r="P112" i="1" s="1"/>
  <c r="G851" i="8"/>
  <c r="N112" i="1" s="1"/>
  <c r="W405" i="8"/>
  <c r="G398" i="8"/>
  <c r="L104" i="1" s="1"/>
  <c r="W245" i="8"/>
  <c r="G238" i="8"/>
  <c r="L38" i="1" s="1"/>
  <c r="Y753" i="8"/>
  <c r="W357" i="8" l="1"/>
  <c r="Y357" i="8" s="1"/>
  <c r="G354" i="8" s="1"/>
  <c r="P67" i="1" s="1"/>
  <c r="W451" i="8"/>
  <c r="W530" i="8"/>
  <c r="W1142" i="8"/>
  <c r="U164" i="8"/>
  <c r="G157" i="8" s="1"/>
  <c r="L14" i="1" s="1"/>
  <c r="G350" i="8"/>
  <c r="L67" i="1" s="1"/>
  <c r="G670" i="8"/>
  <c r="L102" i="1" s="1"/>
  <c r="G334" i="8"/>
  <c r="L35" i="1" s="1"/>
  <c r="Y643" i="8"/>
  <c r="G642" i="8" s="1"/>
  <c r="P50" i="1" s="1"/>
  <c r="G640" i="8"/>
  <c r="N50" i="1" s="1"/>
  <c r="Y227" i="8"/>
  <c r="Y1075" i="8"/>
  <c r="U964" i="8"/>
  <c r="U1470" i="8"/>
  <c r="W499" i="8"/>
  <c r="Y499" i="8" s="1"/>
  <c r="W1015" i="8"/>
  <c r="G1008" i="8"/>
  <c r="L114" i="1" s="1"/>
  <c r="G1353" i="8"/>
  <c r="P108" i="1" s="1"/>
  <c r="G1351" i="8"/>
  <c r="N108" i="1" s="1"/>
  <c r="G352" i="8"/>
  <c r="N67" i="1" s="1"/>
  <c r="Y677" i="8"/>
  <c r="G674" i="8" s="1"/>
  <c r="P102" i="1" s="1"/>
  <c r="G672" i="8"/>
  <c r="N102" i="1" s="1"/>
  <c r="G578" i="8"/>
  <c r="P92" i="1" s="1"/>
  <c r="G576" i="8"/>
  <c r="N92" i="1" s="1"/>
  <c r="G386" i="8"/>
  <c r="P91" i="1" s="1"/>
  <c r="G384" i="8"/>
  <c r="N91" i="1" s="1"/>
  <c r="G738" i="8"/>
  <c r="P57" i="1" s="1"/>
  <c r="G736" i="8"/>
  <c r="N57" i="1" s="1"/>
  <c r="Y341" i="8"/>
  <c r="G338" i="8" s="1"/>
  <c r="P35" i="1" s="1"/>
  <c r="G336" i="8"/>
  <c r="N35" i="1" s="1"/>
  <c r="G1304" i="8"/>
  <c r="P110" i="1" s="1"/>
  <c r="G1302" i="8"/>
  <c r="N110" i="1" s="1"/>
  <c r="Y405" i="8"/>
  <c r="G402" i="8" s="1"/>
  <c r="P104" i="1" s="1"/>
  <c r="G400" i="8"/>
  <c r="N104" i="1" s="1"/>
  <c r="Y245" i="8"/>
  <c r="G242" i="8" s="1"/>
  <c r="P38" i="1" s="1"/>
  <c r="G240" i="8"/>
  <c r="N38" i="1" s="1"/>
  <c r="U754" i="8"/>
  <c r="W479" i="8"/>
  <c r="Y1142" i="8" l="1"/>
  <c r="G1138" i="8"/>
  <c r="N83" i="1" s="1"/>
  <c r="Y530" i="8"/>
  <c r="G526" i="8"/>
  <c r="N56" i="1" s="1"/>
  <c r="Y451" i="8"/>
  <c r="G447" i="8"/>
  <c r="N44" i="1" s="1"/>
  <c r="W164" i="8"/>
  <c r="W1470" i="8"/>
  <c r="G1463" i="8"/>
  <c r="L101" i="1" s="1"/>
  <c r="W964" i="8"/>
  <c r="U1076" i="8"/>
  <c r="Y1015" i="8"/>
  <c r="G1012" i="8" s="1"/>
  <c r="P114" i="1" s="1"/>
  <c r="G1010" i="8"/>
  <c r="N114" i="1" s="1"/>
  <c r="G1152" i="8"/>
  <c r="L93" i="1" s="1"/>
  <c r="W500" i="8"/>
  <c r="G493" i="8"/>
  <c r="L87" i="1" s="1"/>
  <c r="G1184" i="8"/>
  <c r="L37" i="1" s="1"/>
  <c r="G1104" i="8"/>
  <c r="L65" i="1" s="1"/>
  <c r="W754" i="8"/>
  <c r="Y479" i="8"/>
  <c r="U480" i="8" s="1"/>
  <c r="G449" i="8" l="1"/>
  <c r="P44" i="1" s="1"/>
  <c r="W452" i="8"/>
  <c r="Y452" i="8" s="1"/>
  <c r="U531" i="8"/>
  <c r="W531" i="8" s="1"/>
  <c r="Y531" i="8" s="1"/>
  <c r="G528" i="8" s="1"/>
  <c r="P56" i="1" s="1"/>
  <c r="G1140" i="8"/>
  <c r="P83" i="1" s="1"/>
  <c r="W1143" i="8"/>
  <c r="Y1143" i="8" s="1"/>
  <c r="Y164" i="8"/>
  <c r="G161" i="8" s="1"/>
  <c r="P14" i="1" s="1"/>
  <c r="G159" i="8"/>
  <c r="N14" i="1" s="1"/>
  <c r="Y1470" i="8"/>
  <c r="G1467" i="8" s="1"/>
  <c r="P101" i="1" s="1"/>
  <c r="G1465" i="8"/>
  <c r="N101" i="1" s="1"/>
  <c r="W228" i="8"/>
  <c r="W1076" i="8"/>
  <c r="Y964" i="8"/>
  <c r="Y500" i="8"/>
  <c r="G497" i="8" s="1"/>
  <c r="P87" i="1" s="1"/>
  <c r="G495" i="8"/>
  <c r="N87" i="1" s="1"/>
  <c r="G1188" i="8"/>
  <c r="P37" i="1" s="1"/>
  <c r="G1186" i="8"/>
  <c r="N37" i="1" s="1"/>
  <c r="G1156" i="8"/>
  <c r="P93" i="1" s="1"/>
  <c r="G1154" i="8"/>
  <c r="N93" i="1" s="1"/>
  <c r="G1108" i="8"/>
  <c r="P65" i="1" s="1"/>
  <c r="G1106" i="8"/>
  <c r="N65" i="1" s="1"/>
  <c r="Y754" i="8"/>
  <c r="W480" i="8"/>
  <c r="Y228" i="8" l="1"/>
  <c r="Y1076" i="8"/>
  <c r="Y480" i="8"/>
  <c r="U481" i="8" s="1"/>
  <c r="U965" i="8"/>
  <c r="U755" i="8"/>
  <c r="W965" i="8" l="1"/>
  <c r="U1077" i="8"/>
  <c r="W481" i="8"/>
  <c r="W755" i="8"/>
  <c r="W229" i="8" l="1"/>
  <c r="G222" i="8"/>
  <c r="L36" i="1" s="1"/>
  <c r="W1077" i="8"/>
  <c r="Y481" i="8"/>
  <c r="U482" i="8" s="1"/>
  <c r="Y965" i="8"/>
  <c r="Y755" i="8"/>
  <c r="Y229" i="8" l="1"/>
  <c r="G226" i="8" s="1"/>
  <c r="P36" i="1" s="1"/>
  <c r="G224" i="8"/>
  <c r="N36" i="1" s="1"/>
  <c r="Y1077" i="8"/>
  <c r="W482" i="8"/>
  <c r="U966" i="8"/>
  <c r="U756" i="8"/>
  <c r="Y482" i="8" l="1"/>
  <c r="W966" i="8"/>
  <c r="U1078" i="8"/>
  <c r="G558" i="8"/>
  <c r="L97" i="1" s="1"/>
  <c r="Y756" i="8"/>
  <c r="U757" i="8" s="1"/>
  <c r="W757" i="8" s="1"/>
  <c r="U483" i="8" l="1"/>
  <c r="W1078" i="8"/>
  <c r="Y966" i="8"/>
  <c r="G750" i="8"/>
  <c r="Y757" i="8"/>
  <c r="G754" i="8" s="1"/>
  <c r="G752" i="8"/>
  <c r="G562" i="8"/>
  <c r="P97" i="1" s="1"/>
  <c r="G560" i="8"/>
  <c r="N97" i="1" s="1"/>
  <c r="W483" i="8" l="1"/>
  <c r="G477" i="8"/>
  <c r="L59" i="1" s="1"/>
  <c r="Y1078" i="8"/>
  <c r="U967" i="8"/>
  <c r="W169" i="8"/>
  <c r="Y169" i="8" s="1"/>
  <c r="U170" i="8" s="1"/>
  <c r="Y483" i="8" l="1"/>
  <c r="G479" i="8"/>
  <c r="N59" i="1" s="1"/>
  <c r="W967" i="8"/>
  <c r="U1079" i="8"/>
  <c r="W170" i="8"/>
  <c r="Y170" i="8" s="1"/>
  <c r="U171" i="8" s="1"/>
  <c r="G481" i="8" l="1"/>
  <c r="P59" i="1" s="1"/>
  <c r="U484" i="8"/>
  <c r="W484" i="8" s="1"/>
  <c r="Y484" i="8" s="1"/>
  <c r="W1079" i="8"/>
  <c r="G1072" i="8"/>
  <c r="L98" i="1" s="1"/>
  <c r="Y967" i="8"/>
  <c r="W171" i="8"/>
  <c r="Y171" i="8" s="1"/>
  <c r="U172" i="8" s="1"/>
  <c r="Y1079" i="8" l="1"/>
  <c r="G1076" i="8" s="1"/>
  <c r="P98" i="1" s="1"/>
  <c r="G1074" i="8"/>
  <c r="N98" i="1" s="1"/>
  <c r="U968" i="8"/>
  <c r="W172" i="8"/>
  <c r="Y172" i="8" s="1"/>
  <c r="W56" i="8"/>
  <c r="Y56" i="8" s="1"/>
  <c r="U57" i="8" s="1"/>
  <c r="W57" i="8" s="1"/>
  <c r="Y57" i="8" s="1"/>
  <c r="U173" i="8" l="1"/>
  <c r="W173" i="8" s="1"/>
  <c r="Y173" i="8" s="1"/>
  <c r="W174" i="8" s="1"/>
  <c r="Y174" i="8" s="1"/>
  <c r="W968" i="8"/>
  <c r="G961" i="8"/>
  <c r="L24" i="1" s="1"/>
  <c r="W58" i="8"/>
  <c r="Y58" i="8" s="1"/>
  <c r="W59" i="8" s="1"/>
  <c r="Y59" i="8" s="1"/>
  <c r="Y968" i="8" l="1"/>
  <c r="G965" i="8" s="1"/>
  <c r="P24" i="1" s="1"/>
  <c r="G963" i="8"/>
  <c r="N24" i="1" s="1"/>
  <c r="U60" i="8"/>
  <c r="W60" i="8" s="1"/>
  <c r="Y60" i="8" s="1"/>
  <c r="Y175" i="8"/>
  <c r="U176" i="8" l="1"/>
  <c r="U61" i="8"/>
  <c r="G60" i="8" s="1"/>
  <c r="L17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1" i="1"/>
  <c r="U180" i="8" l="1"/>
  <c r="W65" i="8"/>
  <c r="W180" i="8" l="1"/>
  <c r="G173" i="8"/>
  <c r="L73" i="1" s="1"/>
  <c r="Y65" i="8"/>
  <c r="Y180" i="8" l="1"/>
  <c r="G177" i="8" s="1"/>
  <c r="P73" i="1" s="1"/>
  <c r="G175" i="8"/>
  <c r="N73" i="1" s="1"/>
  <c r="W66" i="8"/>
  <c r="Y66" i="8" l="1"/>
  <c r="W67" i="8" l="1"/>
  <c r="Y67" i="8" l="1"/>
  <c r="G64" i="8" s="1"/>
  <c r="P17" i="1" s="1"/>
  <c r="G62" i="8"/>
  <c r="N17" i="1" s="1"/>
  <c r="E15" i="1"/>
  <c r="E19" i="1" s="1"/>
  <c r="K45" i="8"/>
  <c r="J15" i="1" s="1"/>
  <c r="J19" i="1" s="1"/>
  <c r="K44" i="8"/>
  <c r="K46" i="8" l="1"/>
  <c r="K15" i="1" s="1"/>
  <c r="K48" i="8" l="1"/>
  <c r="R1" i="8" s="1"/>
  <c r="Q15" i="1" l="1"/>
  <c r="T16" i="1" l="1"/>
  <c r="Q19" i="1"/>
  <c r="U7" i="1"/>
  <c r="E128" i="1" l="1"/>
  <c r="V10" i="1"/>
  <c r="D88" i="1"/>
  <c r="W266" i="8" l="1"/>
  <c r="Y266" i="8" s="1"/>
  <c r="U267" i="8" s="1"/>
  <c r="W267" i="8" l="1"/>
  <c r="Y267" i="8" s="1"/>
  <c r="U268" i="8" s="1"/>
  <c r="W268" i="8" l="1"/>
  <c r="Y268" i="8" s="1"/>
  <c r="U269" i="8" s="1"/>
  <c r="W269" i="8" l="1"/>
  <c r="Y269" i="8" l="1"/>
  <c r="U270" i="8" s="1"/>
  <c r="W270" i="8" l="1"/>
  <c r="Y270" i="8" s="1"/>
  <c r="U271" i="8" s="1"/>
  <c r="W271" i="8" l="1"/>
  <c r="Y271" i="8" s="1"/>
  <c r="U272" i="8" s="1"/>
  <c r="W272" i="8" l="1"/>
  <c r="Y272" i="8" l="1"/>
  <c r="U273" i="8" s="1"/>
  <c r="P12" i="12" l="1"/>
  <c r="W273" i="8" l="1"/>
  <c r="R12" i="12"/>
  <c r="Y273" i="8" l="1"/>
  <c r="U274" i="8" s="1"/>
  <c r="W274" i="8" l="1"/>
  <c r="Y274" i="8" s="1"/>
  <c r="U275" i="8" s="1"/>
  <c r="W275" i="8" l="1"/>
  <c r="Y275" i="8" l="1"/>
  <c r="G270" i="8" l="1"/>
  <c r="L69" i="1" s="1"/>
  <c r="W276" i="8" l="1"/>
  <c r="Y276" i="8" l="1"/>
  <c r="G272" i="8"/>
  <c r="N69" i="1" s="1"/>
  <c r="W277" i="8" l="1"/>
  <c r="Y277" i="8" s="1"/>
  <c r="G274" i="8" s="1"/>
  <c r="P69" i="1" s="1"/>
  <c r="Q13" i="12" l="1"/>
  <c r="P13" i="12"/>
  <c r="P16" i="12" s="1"/>
  <c r="R13" i="12" l="1"/>
  <c r="R16" i="12" s="1"/>
  <c r="Q16" i="12"/>
  <c r="W1056" i="8" l="1"/>
  <c r="Y1056" i="8" l="1"/>
  <c r="U1057" i="8" l="1"/>
  <c r="W1057" i="8" s="1"/>
  <c r="Y1057" i="8" s="1"/>
  <c r="U1058" i="8" s="1"/>
  <c r="W1058" i="8" l="1"/>
  <c r="Y1058" i="8" l="1"/>
  <c r="U1059" i="8" l="1"/>
  <c r="W1059" i="8" l="1"/>
  <c r="Y1059" i="8" l="1"/>
  <c r="U1060" i="8" l="1"/>
  <c r="W1060" i="8" s="1"/>
  <c r="Y1060" i="8" s="1"/>
  <c r="U1061" i="8" s="1"/>
  <c r="W1061" i="8" l="1"/>
  <c r="G1056" i="8"/>
  <c r="L29" i="1" s="1"/>
  <c r="L75" i="1" s="1"/>
  <c r="Y1061" i="8" l="1"/>
  <c r="G1060" i="8" s="1"/>
  <c r="P29" i="1" s="1"/>
  <c r="P75" i="1" s="1"/>
  <c r="G1058" i="8"/>
  <c r="N29" i="1" s="1"/>
  <c r="N75" i="1" s="1"/>
  <c r="U32" i="1" l="1"/>
  <c r="U50" i="1"/>
  <c r="U51" i="1" s="1"/>
  <c r="D15" i="1"/>
  <c r="U108" i="1"/>
  <c r="D106" i="1"/>
  <c r="E130" i="1"/>
  <c r="V17" i="1" l="1"/>
  <c r="V22" i="1" s="1"/>
  <c r="E133" i="1"/>
  <c r="E137" i="1" s="1"/>
  <c r="G134" i="1" s="1"/>
  <c r="W78" i="1"/>
  <c r="Q75" i="1"/>
  <c r="D108" i="1" s="1"/>
  <c r="V66" i="1"/>
  <c r="V72" i="1"/>
  <c r="T80" i="1"/>
  <c r="W16" i="1"/>
  <c r="I125" i="1"/>
  <c r="D101" i="1" l="1"/>
  <c r="D105" i="1"/>
  <c r="E75" i="1"/>
  <c r="S32" i="1"/>
  <c r="R75" i="1"/>
  <c r="R60" i="1"/>
  <c r="S75" i="1"/>
  <c r="S60" i="1"/>
  <c r="S70" i="1"/>
  <c r="R70" i="1"/>
  <c r="J32" i="1"/>
  <c r="R32" i="1"/>
  <c r="J60" i="1"/>
  <c r="J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>cc</author>
    <author>Pioneer Engineeering</author>
  </authors>
  <commentList>
    <comment ref="V1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Rs 10,000 waived by Bilal bhai</t>
        </r>
      </text>
    </comment>
    <comment ref="V17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2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36" authorId="1" shapeId="0" xr:uid="{00000000-0006-0000-0100-00000A000000}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63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638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669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3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97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76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52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7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111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K1140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8000 sal by bilal bhai</t>
        </r>
      </text>
    </comment>
    <comment ref="U1299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01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31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<sst xmlns="http://schemas.openxmlformats.org/spreadsheetml/2006/main" count="5633" uniqueCount="264">
  <si>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</si>
  <si>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</si>
  <si>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</si>
  <si>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</si>
  <si>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</si>
  <si>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</si>
  <si>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</si>
  <si>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</si>
  <si>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</si>
  <si>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</si>
  <si>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</si>
  <si>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</si>
  <si>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</si>
  <si>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</si>
  <si>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</si>
  <si>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</si>
  <si>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</si>
  <si>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</si>
  <si>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</si>
  <si>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</si>
  <si>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</si>
  <si>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</si>
  <si>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</si>
  <si>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</si>
  <si>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</si>
  <si>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</si>
  <si>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</si>
  <si>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</si>
  <si>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</si>
  <si>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</si>
  <si>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</si>
  <si>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</si>
  <si>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</si>
  <si>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</si>
  <si>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</si>
  <si>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</si>
  <si>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</si>
  <si>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</si>
  <si>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</si>
  <si>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</si>
  <si>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</si>
  <si>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</si>
  <si>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</si>
  <si>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</si>
  <si>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</si>
  <si>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</si>
  <si>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</si>
  <si>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</si>
  <si>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</si>
  <si>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</si>
  <si>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</si>
  <si>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</si>
  <si>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</si>
  <si>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</si>
  <si>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</si>
  <si>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</si>
  <si>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</si>
  <si>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</si>
  <si>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</si>
  <si>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</si>
  <si>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</si>
  <si>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</si>
  <si>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</si>
  <si>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</si>
  <si>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</si>
  <si>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</si>
  <si>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</si>
  <si>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</si>
  <si>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</si>
  <si>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</si>
  <si>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</si>
  <si>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</si>
  <si>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</si>
  <si>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</si>
  <si>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</si>
  <si>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</si>
  <si>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</si>
  <si>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</si>
  <si>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</si>
  <si>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</si>
  <si>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</si>
  <si>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</si>
  <si>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</si>
  <si>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</si>
  <si>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Feroz Sahab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</si>
  <si>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</si>
  <si>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</si>
  <si>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</si>
  <si>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</si>
  <si>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</si>
  <si>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</si>
  <si>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</si>
  <si>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</si>
  <si>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</si>
  <si>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</si>
  <si>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</si>
  <si>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</si>
  <si>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</si>
  <si>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</si>
  <si>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</si>
  <si>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</si>
  <si>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</si>
  <si>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</si>
  <si>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</si>
  <si>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</si>
  <si>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</si>
  <si>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</si>
  <si>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</si>
  <si>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</si>
  <si>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</si>
  <si>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</si>
  <si>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</si>
  <si>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</si>
  <si>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</si>
  <si>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</si>
  <si>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</si>
  <si>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</si>
  <si>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</si>
  <si>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</si>
  <si>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</si>
  <si>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</si>
  <si>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</si>
  <si>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</si>
  <si>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</si>
  <si>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</si>
  <si>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</si>
  <si>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</si>
  <si>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</si>
  <si>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</si>
  <si>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</si>
  <si>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</si>
  <si>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</si>
  <si>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</si>
  <si>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</si>
  <si>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</si>
  <si>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</si>
  <si>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</si>
  <si>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</si>
  <si>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</si>
  <si>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</si>
  <si>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</si>
  <si>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</si>
  <si>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</si>
  <si>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</si>
  <si>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</si>
  <si>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</si>
  <si>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</si>
  <si>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</si>
  <si>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</si>
  <si>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</si>
  <si>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</si>
  <si>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</si>
  <si>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</si>
  <si>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</si>
  <si>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</si>
  <si>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</si>
  <si>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</si>
  <si>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</si>
  <si>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</si>
  <si>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</si>
  <si>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</si>
  <si>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</si>
  <si>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</si>
  <si>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</si>
  <si>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</si>
  <si>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</si>
  <si>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</si>
  <si>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</si>
  <si>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</si>
  <si>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</si>
  <si>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</si>
  <si>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</si>
  <si>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</si>
  <si>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</si>
  <si>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</si>
  <si>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</si>
  <si>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</si>
  <si>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</si>
  <si>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</si>
  <si>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</si>
  <si>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</si>
  <si>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</si>
  <si>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</si>
  <si>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</si>
  <si>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</si>
  <si>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</si>
  <si>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</si>
  <si>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</si>
  <si>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</si>
  <si>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</si>
  <si>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</si>
  <si>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</si>
  <si>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</si>
  <si>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</si>
  <si>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</si>
  <si>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</si>
  <si>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</si>
  <si>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</si>
  <si>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</si>
  <si>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</si>
  <si>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</si>
  <si>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</si>
  <si>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Nov 2020</t>
  </si>
  <si>
    <t>Dec 2020</t>
  </si>
  <si>
    <t>Jan 21</t>
  </si>
  <si>
    <t>Salary Summary  for last 06 months</t>
  </si>
  <si>
    <t>Difference from last month</t>
  </si>
  <si>
    <t>0333-3162891</t>
  </si>
  <si>
    <t>Suleman Dilawer</t>
  </si>
  <si>
    <t>0300 3393136</t>
  </si>
  <si>
    <t>Hammad Ahmed</t>
  </si>
  <si>
    <t>0310-1020972</t>
  </si>
  <si>
    <t>Feb 21</t>
  </si>
  <si>
    <t>Amjad Ustad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</si>
  <si>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</si>
  <si>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</si>
  <si>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</si>
  <si>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</si>
  <si>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</si>
  <si>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</si>
  <si>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</si>
  <si>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</si>
  <si>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</si>
  <si>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</si>
  <si>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</si>
  <si>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</si>
  <si>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</si>
  <si>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Mukhtiar</t>
  </si>
  <si>
    <t>Hassan Khan</t>
  </si>
  <si>
    <t>0316-1286139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</si>
  <si>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</si>
  <si>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</si>
  <si>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</si>
  <si>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</si>
  <si>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</si>
  <si>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</si>
  <si>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</si>
  <si>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</si>
  <si>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</si>
  <si>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</si>
  <si>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</si>
  <si>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</si>
  <si>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</si>
  <si>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</si>
  <si>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</si>
  <si>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</si>
  <si>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</si>
  <si>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</si>
  <si>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</si>
  <si>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</si>
  <si>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</si>
  <si>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</si>
  <si>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</si>
  <si>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</si>
  <si>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</si>
  <si>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</si>
  <si>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Kashif</t>
  </si>
  <si>
    <t>Sufyan</t>
  </si>
  <si>
    <t>db</t>
  </si>
  <si>
    <t>Sheheryar Khalid</t>
  </si>
  <si>
    <t>05 Nos leaves remaining</t>
  </si>
  <si>
    <t>SST = 15552</t>
  </si>
  <si>
    <t>After SST</t>
  </si>
  <si>
    <t>hammad leaved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</si>
</sst>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48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4" fillId="0" borderId="0" xfId="0" applyFont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Alignment="1">
      <alignment vertical="center"/>
    </xf>
    <xf numFmtId="1" fontId="32" fillId="0" borderId="5" xfId="0" applyNumberFormat="1" applyFont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Border="1"/>
    <xf numFmtId="0" fontId="9" fillId="0" borderId="0" xfId="0" applyFo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164" fontId="0" fillId="0" borderId="0" xfId="1" applyNumberFormat="1" applyFont="1" applyFill="1"/>
    <xf numFmtId="0" fontId="8" fillId="0" borderId="1" xfId="0" applyFont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2" borderId="0" xfId="0" applyNumberFormat="1" applyFont="1" applyFill="1"/>
    <xf numFmtId="164" fontId="15" fillId="10" borderId="0" xfId="0" applyNumberFormat="1" applyFont="1" applyFill="1"/>
    <xf numFmtId="164" fontId="10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Border="1" applyAlignment="1">
      <alignment horizontal="right"/>
    </xf>
    <xf numFmtId="164" fontId="10" fillId="0" borderId="1" xfId="0" applyNumberFormat="1" applyFont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Border="1" applyAlignment="1">
      <alignment vertical="center"/>
    </xf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48" fillId="0" borderId="5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54" fillId="0" borderId="1" xfId="0" applyFont="1" applyBorder="1" applyAlignment="1">
      <alignment horizontal="center" vertical="center"/>
    </xf>
    <xf numFmtId="164" fontId="54" fillId="0" borderId="1" xfId="0" applyNumberFormat="1" applyFont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54" fillId="0" borderId="1" xfId="0" applyFont="1" applyBorder="1" applyAlignment="1">
      <alignment vertical="center" textRotation="90"/>
    </xf>
    <xf numFmtId="164" fontId="54" fillId="0" borderId="1" xfId="0" applyNumberFormat="1" applyFont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Border="1" applyAlignment="1">
      <alignment vertical="center"/>
    </xf>
    <xf numFmtId="14" fontId="18" fillId="0" borderId="31" xfId="0" applyNumberFormat="1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164" fontId="18" fillId="0" borderId="31" xfId="0" applyNumberFormat="1" applyFont="1" applyBorder="1" applyAlignment="1">
      <alignment horizontal="right" vertical="center"/>
    </xf>
    <xf numFmtId="164" fontId="18" fillId="0" borderId="31" xfId="0" applyNumberFormat="1" applyFont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164" fontId="45" fillId="0" borderId="1" xfId="0" applyNumberFormat="1" applyFont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Border="1" applyAlignment="1">
      <alignment vertical="center"/>
    </xf>
    <xf numFmtId="0" fontId="63" fillId="0" borderId="6" xfId="0" applyFont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Alignment="1">
      <alignment horizontal="right" vertical="center"/>
    </xf>
    <xf numFmtId="164" fontId="44" fillId="0" borderId="0" xfId="0" applyNumberFormat="1" applyFont="1" applyAlignment="1">
      <alignment vertical="center"/>
    </xf>
    <xf numFmtId="164" fontId="44" fillId="0" borderId="0" xfId="0" applyNumberFormat="1" applyFont="1"/>
    <xf numFmtId="164" fontId="44" fillId="0" borderId="0" xfId="1" applyNumberFormat="1" applyFont="1" applyFill="1" applyBorder="1"/>
    <xf numFmtId="0" fontId="41" fillId="0" borderId="1" xfId="0" applyFont="1" applyBorder="1" applyAlignment="1">
      <alignment vertical="center"/>
    </xf>
    <xf numFmtId="164" fontId="41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7" fontId="16" fillId="0" borderId="0" xfId="0" quotePrefix="1" applyNumberFormat="1" applyFont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16" fontId="18" fillId="0" borderId="0" xfId="0" applyNumberFormat="1" applyFont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164" fontId="28" fillId="10" borderId="1" xfId="1" applyNumberFormat="1" applyFont="1" applyFill="1" applyBorder="1" applyAlignment="1">
      <alignment vertical="center"/>
    </xf>
    <xf numFmtId="0" fontId="47" fillId="0" borderId="14" xfId="0" applyFont="1" applyBorder="1" applyAlignment="1">
      <alignment vertical="center"/>
    </xf>
    <xf numFmtId="0" fontId="47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14" fontId="47" fillId="0" borderId="0" xfId="0" applyNumberFormat="1" applyFont="1" applyAlignment="1">
      <alignment vertical="center"/>
    </xf>
    <xf numFmtId="14" fontId="47" fillId="0" borderId="15" xfId="0" applyNumberFormat="1" applyFont="1" applyBorder="1" applyAlignment="1">
      <alignment vertical="center"/>
    </xf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4" fontId="69" fillId="0" borderId="0" xfId="1" applyNumberFormat="1" applyFont="1" applyFill="1" applyBorder="1" applyAlignment="1">
      <alignment vertical="center"/>
    </xf>
    <xf numFmtId="0" fontId="68" fillId="0" borderId="15" xfId="0" applyFont="1" applyBorder="1" applyAlignment="1">
      <alignment vertical="center"/>
    </xf>
    <xf numFmtId="0" fontId="47" fillId="0" borderId="0" xfId="0" applyFont="1" applyAlignment="1">
      <alignment horizontal="left" vertical="center"/>
    </xf>
    <xf numFmtId="0" fontId="69" fillId="0" borderId="0" xfId="0" applyFont="1" applyAlignment="1">
      <alignment horizontal="center" vertical="center"/>
    </xf>
    <xf numFmtId="164" fontId="69" fillId="0" borderId="15" xfId="1" applyNumberFormat="1" applyFont="1" applyFill="1" applyBorder="1" applyAlignment="1">
      <alignment vertical="center"/>
    </xf>
    <xf numFmtId="0" fontId="47" fillId="0" borderId="0" xfId="0" applyFont="1" applyAlignment="1">
      <alignment vertical="center" wrapText="1"/>
    </xf>
    <xf numFmtId="0" fontId="68" fillId="0" borderId="0" xfId="0" applyFont="1" applyAlignment="1">
      <alignment horizontal="left" vertical="center"/>
    </xf>
    <xf numFmtId="0" fontId="47" fillId="0" borderId="15" xfId="0" applyFont="1" applyBorder="1" applyAlignment="1">
      <alignment vertical="center"/>
    </xf>
    <xf numFmtId="164" fontId="47" fillId="0" borderId="0" xfId="1" applyNumberFormat="1" applyFont="1" applyFill="1" applyBorder="1" applyAlignment="1">
      <alignment vertical="center"/>
    </xf>
    <xf numFmtId="0" fontId="69" fillId="0" borderId="15" xfId="0" applyFont="1" applyBorder="1" applyAlignment="1">
      <alignment horizontal="center" vertical="center"/>
    </xf>
    <xf numFmtId="0" fontId="47" fillId="0" borderId="1" xfId="0" applyFont="1" applyBorder="1" applyAlignment="1">
      <alignment horizontal="right" vertical="center"/>
    </xf>
    <xf numFmtId="164" fontId="47" fillId="0" borderId="1" xfId="1" applyNumberFormat="1" applyFont="1" applyFill="1" applyBorder="1" applyAlignment="1">
      <alignment vertical="center"/>
    </xf>
    <xf numFmtId="0" fontId="47" fillId="0" borderId="6" xfId="0" applyFont="1" applyBorder="1" applyAlignment="1">
      <alignment vertical="center"/>
    </xf>
    <xf numFmtId="164" fontId="47" fillId="0" borderId="1" xfId="0" applyNumberFormat="1" applyFont="1" applyBorder="1" applyAlignment="1">
      <alignment horizontal="right" vertical="center"/>
    </xf>
    <xf numFmtId="164" fontId="47" fillId="0" borderId="15" xfId="0" applyNumberFormat="1" applyFont="1" applyBorder="1" applyAlignment="1">
      <alignment horizontal="right" vertical="center"/>
    </xf>
    <xf numFmtId="0" fontId="47" fillId="0" borderId="1" xfId="0" applyFont="1" applyBorder="1" applyAlignment="1">
      <alignment vertical="center"/>
    </xf>
    <xf numFmtId="1" fontId="47" fillId="0" borderId="5" xfId="0" applyNumberFormat="1" applyFont="1" applyBorder="1" applyAlignment="1">
      <alignment vertical="center"/>
    </xf>
    <xf numFmtId="164" fontId="47" fillId="0" borderId="15" xfId="0" applyNumberFormat="1" applyFont="1" applyBorder="1" applyAlignment="1">
      <alignment vertical="center"/>
    </xf>
    <xf numFmtId="164" fontId="47" fillId="0" borderId="1" xfId="0" applyNumberFormat="1" applyFont="1" applyBorder="1" applyAlignment="1">
      <alignment vertical="center"/>
    </xf>
    <xf numFmtId="164" fontId="47" fillId="0" borderId="15" xfId="1" applyNumberFormat="1" applyFont="1" applyFill="1" applyBorder="1" applyAlignment="1">
      <alignment vertical="center"/>
    </xf>
    <xf numFmtId="0" fontId="47" fillId="0" borderId="1" xfId="0" applyFont="1" applyBorder="1" applyAlignment="1">
      <alignment horizontal="left" vertical="center"/>
    </xf>
    <xf numFmtId="164" fontId="69" fillId="0" borderId="1" xfId="0" applyNumberFormat="1" applyFont="1" applyBorder="1" applyAlignment="1">
      <alignment vertical="center"/>
    </xf>
    <xf numFmtId="164" fontId="69" fillId="0" borderId="15" xfId="0" applyNumberFormat="1" applyFont="1" applyBorder="1" applyAlignment="1">
      <alignment vertical="center"/>
    </xf>
    <xf numFmtId="164" fontId="65" fillId="0" borderId="1" xfId="1" applyNumberFormat="1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28" fillId="0" borderId="1" xfId="1" applyNumberFormat="1" applyFont="1" applyFill="1" applyBorder="1"/>
    <xf numFmtId="0" fontId="5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0" fillId="0" borderId="1" xfId="0" applyFont="1" applyBorder="1"/>
    <xf numFmtId="0" fontId="69" fillId="0" borderId="5" xfId="0" applyFont="1" applyBorder="1" applyAlignment="1">
      <alignment vertical="center"/>
    </xf>
    <xf numFmtId="164" fontId="10" fillId="0" borderId="0" xfId="0" applyNumberFormat="1" applyFont="1" applyAlignment="1">
      <alignment horizontal="right"/>
    </xf>
    <xf numFmtId="164" fontId="58" fillId="7" borderId="0" xfId="0" applyNumberFormat="1" applyFont="1" applyFill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6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67" fillId="0" borderId="0" xfId="0" applyFont="1" applyAlignment="1">
      <alignment horizontal="left" vertical="center"/>
    </xf>
    <xf numFmtId="0" fontId="69" fillId="5" borderId="5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69" fillId="0" borderId="5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67" fillId="0" borderId="0" xfId="0" applyFont="1" applyAlignment="1">
      <alignment horizontal="right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11" xfId="0" applyFont="1" applyFill="1" applyBorder="1" applyAlignment="1">
      <alignment horizontal="center" vertical="center"/>
    </xf>
    <xf numFmtId="0" fontId="66" fillId="9" borderId="1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4" fillId="0" borderId="24" xfId="0" applyFont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164" fontId="9" fillId="0" borderId="0" xfId="1" applyNumberFormat="1" applyFont="1" applyFill="1" applyBorder="1" applyAlignment="1">
      <alignment horizontal="right" vertical="top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63"/>
  <sheetViews>
    <sheetView view="pageBreakPreview" zoomScaleNormal="90" zoomScaleSheetLayoutView="100" workbookViewId="0">
      <pane ySplit="3" topLeftCell="A19" activePane="bottomLeft" state="frozen"/>
      <selection pane="bottomLeft" activeCell="B73" sqref="B73"/>
    </sheetView>
  </sheetViews>
  <sheetFormatPr defaultRowHeight="12.75" x14ac:dyDescent="0.2"/>
  <cols>
    <col min="1" max="1" width="3.140625" style="321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3" s="323" customFormat="1" ht="12.75" customHeight="1" x14ac:dyDescent="0.4">
      <c r="A1" s="440" t="s">
        <v>88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38" t="str">
        <f>'Salary Record'!J1</f>
        <v>October</v>
      </c>
      <c r="O1" s="438"/>
      <c r="P1" s="438">
        <f>'Salary Record'!K1</f>
        <v>2022</v>
      </c>
      <c r="Q1" s="325"/>
      <c r="R1" s="322"/>
      <c r="S1" s="322"/>
      <c r="T1" s="322"/>
      <c r="V1" s="324"/>
    </row>
    <row r="2" spans="1:23" s="323" customFormat="1" ht="15.6" customHeight="1" x14ac:dyDescent="0.4">
      <c r="A2" s="442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39"/>
      <c r="O2" s="439"/>
      <c r="P2" s="439"/>
      <c r="Q2" s="326"/>
      <c r="R2" s="322"/>
      <c r="S2" s="322"/>
      <c r="T2" s="322"/>
      <c r="V2" s="324"/>
    </row>
    <row r="3" spans="1:23" ht="39.75" customHeight="1" x14ac:dyDescent="0.2">
      <c r="A3" s="6"/>
      <c r="B3" s="363"/>
      <c r="C3" s="7"/>
      <c r="D3" s="7"/>
      <c r="E3" s="25" t="s">
        <v>31</v>
      </c>
      <c r="F3" s="27" t="s">
        <v>39</v>
      </c>
      <c r="G3" s="25" t="s">
        <v>40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65</v>
      </c>
      <c r="R3" s="25" t="s">
        <v>146</v>
      </c>
      <c r="S3" s="25" t="s">
        <v>65</v>
      </c>
      <c r="T3" s="146"/>
    </row>
    <row r="4" spans="1:23" s="211" customFormat="1" ht="15.75" x14ac:dyDescent="0.2">
      <c r="A4" s="314">
        <v>1</v>
      </c>
      <c r="B4" s="278" t="s">
        <v>10</v>
      </c>
      <c r="C4" s="299"/>
      <c r="D4" s="247">
        <f>E4</f>
        <v>0</v>
      </c>
      <c r="E4" s="281">
        <v>0</v>
      </c>
      <c r="F4" s="209"/>
      <c r="G4" s="281"/>
      <c r="H4" s="281"/>
      <c r="I4" s="281"/>
      <c r="J4" s="281"/>
      <c r="K4" s="281"/>
      <c r="L4" s="283"/>
      <c r="M4" s="283"/>
      <c r="N4" s="284"/>
      <c r="O4" s="283"/>
      <c r="P4" s="284"/>
      <c r="Q4" s="289"/>
      <c r="R4" s="163">
        <v>0</v>
      </c>
      <c r="S4" s="163"/>
      <c r="T4" s="210"/>
      <c r="V4" s="212"/>
    </row>
    <row r="5" spans="1:23" s="211" customFormat="1" ht="15.75" x14ac:dyDescent="0.2">
      <c r="A5" s="315">
        <v>2</v>
      </c>
      <c r="B5" s="278" t="s">
        <v>3</v>
      </c>
      <c r="C5" s="278"/>
      <c r="D5" s="231">
        <f>E5</f>
        <v>0</v>
      </c>
      <c r="E5" s="285">
        <v>0</v>
      </c>
      <c r="F5" s="285"/>
      <c r="G5" s="285"/>
      <c r="H5" s="285"/>
      <c r="I5" s="285"/>
      <c r="J5" s="285"/>
      <c r="K5" s="285"/>
      <c r="L5" s="116"/>
      <c r="M5" s="116"/>
      <c r="N5" s="300"/>
      <c r="O5" s="116"/>
      <c r="P5" s="300"/>
      <c r="Q5" s="287"/>
      <c r="R5" s="163">
        <v>0</v>
      </c>
      <c r="S5" s="163"/>
      <c r="T5" s="210"/>
      <c r="V5" s="212"/>
    </row>
    <row r="6" spans="1:23" ht="23.25" x14ac:dyDescent="0.25">
      <c r="A6" s="425" t="s">
        <v>101</v>
      </c>
      <c r="B6" s="426"/>
      <c r="C6" s="426"/>
      <c r="D6" s="426"/>
      <c r="E6" s="426"/>
      <c r="F6" s="426"/>
      <c r="G6" s="426"/>
      <c r="H6" s="426"/>
      <c r="I6" s="426"/>
      <c r="J6" s="426"/>
      <c r="K6" s="426"/>
      <c r="L6" s="426"/>
      <c r="M6" s="426"/>
      <c r="N6" s="426"/>
      <c r="O6" s="426"/>
      <c r="P6" s="426"/>
      <c r="Q6" s="427"/>
      <c r="R6" s="160"/>
      <c r="S6" s="160"/>
      <c r="T6" s="148"/>
    </row>
    <row r="7" spans="1:23" s="211" customFormat="1" ht="15.75" x14ac:dyDescent="0.2">
      <c r="A7" s="314">
        <v>1</v>
      </c>
      <c r="B7" s="278" t="s">
        <v>20</v>
      </c>
      <c r="C7" s="449" t="s">
        <v>38</v>
      </c>
      <c r="D7" s="452">
        <f>SUM(Q7:Q10)</f>
        <v>0</v>
      </c>
      <c r="E7" s="116">
        <v>15000</v>
      </c>
      <c r="F7" s="116"/>
      <c r="G7" s="285"/>
      <c r="H7" s="116"/>
      <c r="I7" s="116"/>
      <c r="J7" s="116"/>
      <c r="K7" s="116"/>
      <c r="L7" s="283"/>
      <c r="M7" s="283"/>
      <c r="N7" s="284"/>
      <c r="O7" s="283"/>
      <c r="P7" s="284"/>
      <c r="Q7" s="289">
        <f>'Salary Record'!K80</f>
        <v>0</v>
      </c>
      <c r="R7" s="163"/>
      <c r="S7" s="163"/>
      <c r="T7" s="210"/>
      <c r="U7" s="210">
        <f>Q5+Q15+Q53+Q101+Q56</f>
        <v>247901.61290322582</v>
      </c>
      <c r="V7" s="212"/>
    </row>
    <row r="8" spans="1:23" s="211" customFormat="1" ht="15.75" x14ac:dyDescent="0.2">
      <c r="A8" s="315">
        <v>2</v>
      </c>
      <c r="B8" s="278" t="str">
        <f>'Salary Record'!C137</f>
        <v>Driver</v>
      </c>
      <c r="C8" s="450"/>
      <c r="D8" s="453"/>
      <c r="E8" s="116">
        <v>25000</v>
      </c>
      <c r="F8" s="116">
        <f>'Salary Record'!C142</f>
        <v>0</v>
      </c>
      <c r="G8" s="285">
        <f>'Salary Record'!C143</f>
        <v>0</v>
      </c>
      <c r="H8" s="116">
        <f>'Salary Record'!I141</f>
        <v>0</v>
      </c>
      <c r="I8" s="116">
        <f>'Salary Record'!I140</f>
        <v>31</v>
      </c>
      <c r="J8" s="281">
        <f>'Salary Record'!K141</f>
        <v>0</v>
      </c>
      <c r="K8" s="281">
        <f>'Salary Record'!K142</f>
        <v>25000</v>
      </c>
      <c r="L8" s="282">
        <f>'Salary Record'!G140</f>
        <v>0</v>
      </c>
      <c r="M8" s="283">
        <f>'Salary Record'!G141</f>
        <v>0</v>
      </c>
      <c r="N8" s="284">
        <f>'Salary Record'!G142</f>
        <v>0</v>
      </c>
      <c r="O8" s="283">
        <f>'Salary Record'!G143</f>
        <v>0</v>
      </c>
      <c r="P8" s="284">
        <f>'Salary Record'!G144</f>
        <v>0</v>
      </c>
      <c r="Q8" s="289">
        <f>'Salary Record'!K144</f>
        <v>0</v>
      </c>
      <c r="R8" s="163"/>
      <c r="S8" s="163"/>
      <c r="T8" s="210"/>
      <c r="U8" s="210"/>
      <c r="V8" s="212"/>
    </row>
    <row r="9" spans="1:23" s="211" customFormat="1" ht="15.75" x14ac:dyDescent="0.2">
      <c r="A9" s="314">
        <v>3</v>
      </c>
      <c r="B9" s="278" t="s">
        <v>32</v>
      </c>
      <c r="C9" s="450"/>
      <c r="D9" s="453"/>
      <c r="E9" s="116">
        <v>15000</v>
      </c>
      <c r="F9" s="116"/>
      <c r="G9" s="285"/>
      <c r="H9" s="116"/>
      <c r="I9" s="116"/>
      <c r="J9" s="116"/>
      <c r="K9" s="116"/>
      <c r="L9" s="283"/>
      <c r="M9" s="283"/>
      <c r="N9" s="284"/>
      <c r="O9" s="283"/>
      <c r="P9" s="284"/>
      <c r="Q9" s="289">
        <f>'Salary Record'!K96</f>
        <v>0</v>
      </c>
      <c r="R9" s="163"/>
      <c r="S9" s="163"/>
      <c r="T9" s="210"/>
      <c r="V9" s="212"/>
    </row>
    <row r="10" spans="1:23" s="211" customFormat="1" ht="15.75" x14ac:dyDescent="0.2">
      <c r="A10" s="315">
        <v>4</v>
      </c>
      <c r="B10" s="278" t="s">
        <v>8</v>
      </c>
      <c r="C10" s="451"/>
      <c r="D10" s="454"/>
      <c r="E10" s="116">
        <v>15000</v>
      </c>
      <c r="F10" s="116"/>
      <c r="G10" s="285"/>
      <c r="H10" s="116"/>
      <c r="I10" s="116"/>
      <c r="J10" s="116"/>
      <c r="K10" s="116"/>
      <c r="L10" s="283"/>
      <c r="M10" s="283"/>
      <c r="N10" s="284"/>
      <c r="O10" s="283"/>
      <c r="P10" s="284"/>
      <c r="Q10" s="289">
        <f>'Salary Record'!K112</f>
        <v>0</v>
      </c>
      <c r="R10" s="163"/>
      <c r="S10" s="163"/>
      <c r="T10" s="210"/>
      <c r="V10" s="213" t="e">
        <f>Q4+Q19+Q25+#REF!+#REF!+Q53+Q101+Q63</f>
        <v>#REF!</v>
      </c>
    </row>
    <row r="11" spans="1:23" s="310" customFormat="1" ht="21" x14ac:dyDescent="0.3">
      <c r="A11" s="431" t="s">
        <v>2</v>
      </c>
      <c r="B11" s="432"/>
      <c r="C11" s="353"/>
      <c r="D11" s="353"/>
      <c r="E11" s="355">
        <f>SUM(E7:E10)</f>
        <v>70000</v>
      </c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08">
        <f>SUM(Q7:Q10)</f>
        <v>0</v>
      </c>
      <c r="R11" s="347">
        <f t="shared" ref="R11:S11" si="0">SUM(R7:R10)</f>
        <v>0</v>
      </c>
      <c r="S11" s="347">
        <f t="shared" si="0"/>
        <v>0</v>
      </c>
      <c r="T11" s="309"/>
      <c r="V11" s="311"/>
    </row>
    <row r="12" spans="1:23" s="310" customFormat="1" ht="21" x14ac:dyDescent="0.3">
      <c r="A12" s="349"/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50"/>
      <c r="R12" s="351"/>
      <c r="S12" s="351"/>
      <c r="T12" s="351"/>
      <c r="V12" s="352"/>
    </row>
    <row r="13" spans="1:23" s="263" customFormat="1" ht="21" customHeight="1" x14ac:dyDescent="0.2">
      <c r="A13" s="428" t="s">
        <v>102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30"/>
      <c r="R13" s="348"/>
      <c r="S13" s="348"/>
      <c r="T13" s="262"/>
      <c r="V13" s="264"/>
    </row>
    <row r="14" spans="1:23" s="211" customFormat="1" ht="15.75" x14ac:dyDescent="0.2">
      <c r="A14" s="315">
        <v>1</v>
      </c>
      <c r="B14" s="413" t="s">
        <v>16</v>
      </c>
      <c r="C14" s="214"/>
      <c r="D14" s="215"/>
      <c r="E14" s="116">
        <f>'Salary Record'!K153</f>
        <v>40000</v>
      </c>
      <c r="F14" s="116">
        <f>'Salary Record'!C159</f>
        <v>29</v>
      </c>
      <c r="G14" s="285">
        <f>'Salary Record'!C160</f>
        <v>2</v>
      </c>
      <c r="H14" s="116">
        <f>'Salary Record'!I158</f>
        <v>0</v>
      </c>
      <c r="I14" s="116">
        <f>'Salary Record'!I157</f>
        <v>31</v>
      </c>
      <c r="J14" s="281">
        <f>'Salary Record'!K158</f>
        <v>0</v>
      </c>
      <c r="K14" s="116">
        <f>'Salary Record'!K159</f>
        <v>40000</v>
      </c>
      <c r="L14" s="282">
        <f>'Salary Record'!G157</f>
        <v>10000</v>
      </c>
      <c r="M14" s="282">
        <f>'Salary Record'!G158</f>
        <v>3000</v>
      </c>
      <c r="N14" s="282">
        <f>'Salary Record'!G159</f>
        <v>13000</v>
      </c>
      <c r="O14" s="282">
        <f>'Salary Record'!G160</f>
        <v>5000</v>
      </c>
      <c r="P14" s="282">
        <f>'Salary Record'!G161</f>
        <v>8000</v>
      </c>
      <c r="Q14" s="289">
        <f>'Salary Record'!K161</f>
        <v>35000</v>
      </c>
      <c r="R14" s="163"/>
      <c r="S14" s="163"/>
      <c r="T14" s="210"/>
      <c r="U14" s="210"/>
      <c r="V14" s="212"/>
    </row>
    <row r="15" spans="1:23" s="211" customFormat="1" ht="21" customHeight="1" x14ac:dyDescent="0.2">
      <c r="A15" s="314">
        <v>2</v>
      </c>
      <c r="B15" s="413" t="s">
        <v>19</v>
      </c>
      <c r="C15" s="216" t="s">
        <v>36</v>
      </c>
      <c r="D15" s="217">
        <f>SUM(Q15:Q45)</f>
        <v>1235571.7741935486</v>
      </c>
      <c r="E15" s="116">
        <f>'Salary Record'!K40</f>
        <v>55000</v>
      </c>
      <c r="F15" s="116">
        <f>'Salary Record'!C46</f>
        <v>31</v>
      </c>
      <c r="G15" s="116">
        <f>'Salary Record'!C47</f>
        <v>0</v>
      </c>
      <c r="H15" s="281">
        <f>'Salary Record'!I45</f>
        <v>0</v>
      </c>
      <c r="I15" s="116">
        <f>'Salary Record'!I44</f>
        <v>31</v>
      </c>
      <c r="J15" s="281">
        <f>'Salary Record'!K45</f>
        <v>0</v>
      </c>
      <c r="K15" s="116">
        <f>'Salary Record'!K46</f>
        <v>55000</v>
      </c>
      <c r="L15" s="282">
        <f>'Salary Record'!U40</f>
        <v>0</v>
      </c>
      <c r="M15" s="283">
        <f>'Salary Record'!V40</f>
        <v>0</v>
      </c>
      <c r="N15" s="284">
        <f>'Salary Record'!W40</f>
        <v>0</v>
      </c>
      <c r="O15" s="284">
        <f>'Salary Record'!X40</f>
        <v>0</v>
      </c>
      <c r="P15" s="284">
        <f>'Salary Record'!Y40</f>
        <v>0</v>
      </c>
      <c r="Q15" s="289">
        <f>'Salary Record'!K48</f>
        <v>55000</v>
      </c>
      <c r="R15" s="163"/>
      <c r="S15" s="163"/>
      <c r="T15" s="210"/>
      <c r="U15" s="210"/>
      <c r="V15" s="212"/>
    </row>
    <row r="16" spans="1:23" s="211" customFormat="1" ht="21" customHeight="1" x14ac:dyDescent="0.2">
      <c r="A16" s="315">
        <v>3</v>
      </c>
      <c r="B16" s="418" t="str">
        <f>'Salary Record'!C1213</f>
        <v>Ahsan Khan</v>
      </c>
      <c r="C16" s="230"/>
      <c r="D16" s="231"/>
      <c r="E16" s="282">
        <f>'Salary Record'!K1212</f>
        <v>38000</v>
      </c>
      <c r="F16" s="282">
        <f>'Salary Record'!C1218</f>
        <v>29</v>
      </c>
      <c r="G16" s="288">
        <f>'Salary Record'!C1219</f>
        <v>2</v>
      </c>
      <c r="H16" s="282">
        <f>'Salary Record'!I1217</f>
        <v>0</v>
      </c>
      <c r="I16" s="282">
        <f>'Salary Record'!I1216</f>
        <v>30</v>
      </c>
      <c r="J16" s="281">
        <f>'Salary Record'!K1217</f>
        <v>0</v>
      </c>
      <c r="K16" s="281">
        <f>'Salary Record'!K1218</f>
        <v>36774.193548387098</v>
      </c>
      <c r="L16" s="282">
        <f>'Salary Record'!G1216</f>
        <v>35000</v>
      </c>
      <c r="M16" s="282">
        <f>'Salary Record'!G1217</f>
        <v>10000</v>
      </c>
      <c r="N16" s="284">
        <f>'Salary Record'!G1218</f>
        <v>45000</v>
      </c>
      <c r="O16" s="282">
        <f>'Salary Record'!G1219</f>
        <v>10000</v>
      </c>
      <c r="P16" s="284">
        <f>'Salary Record'!G1220</f>
        <v>35000</v>
      </c>
      <c r="Q16" s="289">
        <f>'Salary Record'!K1220</f>
        <v>26774.193548387098</v>
      </c>
      <c r="R16" s="239"/>
      <c r="S16" s="163"/>
      <c r="T16" s="210">
        <f>Q17+Q15+Q14</f>
        <v>95000</v>
      </c>
      <c r="V16" s="212"/>
      <c r="W16" s="210">
        <f>Q74+Q65+Q63+Q60</f>
        <v>218054.83870967739</v>
      </c>
    </row>
    <row r="17" spans="1:24" s="211" customFormat="1" ht="15.75" x14ac:dyDescent="0.2">
      <c r="A17" s="314">
        <v>4</v>
      </c>
      <c r="B17" s="413" t="str">
        <f>'Salary Record'!C57</f>
        <v>Mossi</v>
      </c>
      <c r="C17" s="219"/>
      <c r="D17" s="220"/>
      <c r="E17" s="116">
        <f>'Salary Record'!K56</f>
        <v>5000</v>
      </c>
      <c r="F17" s="116">
        <f>'Salary Record'!C62</f>
        <v>0</v>
      </c>
      <c r="G17" s="285">
        <f>'Salary Record'!C63</f>
        <v>0</v>
      </c>
      <c r="H17" s="116"/>
      <c r="I17" s="116">
        <f>'Salary Record'!I60</f>
        <v>0</v>
      </c>
      <c r="J17" s="116"/>
      <c r="K17" s="116">
        <f>'Salary Record'!K62</f>
        <v>5000</v>
      </c>
      <c r="L17" s="283">
        <f>'Salary Record'!G60</f>
        <v>0</v>
      </c>
      <c r="M17" s="283">
        <f>'Salary Record'!G61</f>
        <v>0</v>
      </c>
      <c r="N17" s="284" t="str">
        <f>'Salary Record'!G62</f>
        <v/>
      </c>
      <c r="O17" s="283">
        <f>'Salary Record'!G63</f>
        <v>0</v>
      </c>
      <c r="P17" s="284" t="str">
        <f>'Salary Record'!G64</f>
        <v/>
      </c>
      <c r="Q17" s="289">
        <f>'Salary Record'!K64</f>
        <v>5000</v>
      </c>
      <c r="R17" s="163"/>
      <c r="S17" s="163"/>
      <c r="T17" s="210"/>
      <c r="V17" s="212">
        <f>Q14+Q17+Q18+Q53+Q60+Q63+Q101+Q65+Q66+Q29</f>
        <v>462373.38709677424</v>
      </c>
    </row>
    <row r="18" spans="1:24" s="211" customFormat="1" ht="15.75" x14ac:dyDescent="0.2">
      <c r="A18" s="315">
        <v>5</v>
      </c>
      <c r="B18" s="413" t="str">
        <f>'Salary Record'!C122</f>
        <v>Umer Farooq</v>
      </c>
      <c r="C18" s="214"/>
      <c r="D18" s="215"/>
      <c r="E18" s="116">
        <f>'Salary Record'!K121</f>
        <v>16000</v>
      </c>
      <c r="F18" s="116">
        <f>'Salary Record'!C127</f>
        <v>0</v>
      </c>
      <c r="G18" s="285">
        <f>'Salary Record'!C128</f>
        <v>0</v>
      </c>
      <c r="H18" s="116">
        <f>'Salary Record'!I126</f>
        <v>0</v>
      </c>
      <c r="I18" s="116">
        <f>'Salary Record'!I125</f>
        <v>31</v>
      </c>
      <c r="J18" s="295">
        <f>'Salary Record'!K126</f>
        <v>0</v>
      </c>
      <c r="K18" s="295">
        <f>'Salary Record'!K127</f>
        <v>16000</v>
      </c>
      <c r="L18" s="296">
        <f>'Salary Record'!G125</f>
        <v>0</v>
      </c>
      <c r="M18" s="296">
        <f>'Salary Record'!G126</f>
        <v>5000</v>
      </c>
      <c r="N18" s="297">
        <f>'Salary Record'!G127</f>
        <v>5000</v>
      </c>
      <c r="O18" s="296">
        <f>'Salary Record'!G128</f>
        <v>0</v>
      </c>
      <c r="P18" s="297">
        <f>'Salary Record'!G129</f>
        <v>5000</v>
      </c>
      <c r="Q18" s="298">
        <f>'Salary Record'!K129</f>
        <v>16000</v>
      </c>
      <c r="R18" s="163"/>
      <c r="S18" s="163"/>
      <c r="T18" s="210"/>
      <c r="U18" s="210"/>
      <c r="V18" s="212">
        <v>25000</v>
      </c>
    </row>
    <row r="19" spans="1:24" s="310" customFormat="1" ht="21" x14ac:dyDescent="0.3">
      <c r="A19" s="431" t="s">
        <v>2</v>
      </c>
      <c r="B19" s="432"/>
      <c r="C19" s="353"/>
      <c r="D19" s="353"/>
      <c r="E19" s="355">
        <f>SUM(E14:E18)</f>
        <v>154000</v>
      </c>
      <c r="F19" s="353"/>
      <c r="G19" s="353"/>
      <c r="H19" s="353"/>
      <c r="I19" s="353"/>
      <c r="J19" s="354">
        <f>SUM(J14:J18)</f>
        <v>0</v>
      </c>
      <c r="K19" s="353"/>
      <c r="L19" s="353"/>
      <c r="M19" s="353"/>
      <c r="N19" s="353"/>
      <c r="O19" s="353"/>
      <c r="P19" s="353"/>
      <c r="Q19" s="308">
        <f>SUM(Q14:Q18)</f>
        <v>137774.19354838709</v>
      </c>
      <c r="R19" s="347">
        <f t="shared" ref="R19:S19" si="1">SUM(R14:R18)</f>
        <v>0</v>
      </c>
      <c r="S19" s="347">
        <f t="shared" si="1"/>
        <v>0</v>
      </c>
      <c r="T19" s="309"/>
      <c r="U19" s="351"/>
      <c r="V19" s="311"/>
    </row>
    <row r="20" spans="1:24" s="310" customFormat="1" ht="21" x14ac:dyDescent="0.3">
      <c r="A20" s="349"/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50"/>
      <c r="R20" s="351"/>
      <c r="S20" s="351"/>
      <c r="T20" s="351"/>
      <c r="V20" s="352"/>
    </row>
    <row r="21" spans="1:24" s="259" customFormat="1" ht="21" customHeight="1" x14ac:dyDescent="0.2">
      <c r="A21" s="425" t="s">
        <v>110</v>
      </c>
      <c r="B21" s="426"/>
      <c r="C21" s="426"/>
      <c r="D21" s="426"/>
      <c r="E21" s="426"/>
      <c r="F21" s="426"/>
      <c r="G21" s="426"/>
      <c r="H21" s="426"/>
      <c r="I21" s="426"/>
      <c r="J21" s="426"/>
      <c r="K21" s="426"/>
      <c r="L21" s="426"/>
      <c r="M21" s="426"/>
      <c r="N21" s="426"/>
      <c r="O21" s="426"/>
      <c r="P21" s="426"/>
      <c r="Q21" s="427"/>
      <c r="R21" s="257"/>
      <c r="S21" s="257"/>
      <c r="T21" s="258"/>
      <c r="U21" s="265"/>
      <c r="V21" s="260">
        <v>400000</v>
      </c>
    </row>
    <row r="22" spans="1:24" s="225" customFormat="1" ht="20.25" customHeight="1" x14ac:dyDescent="0.2">
      <c r="A22" s="315">
        <v>1</v>
      </c>
      <c r="B22" s="423" t="str">
        <f>'Salary Record'!C1037</f>
        <v>Khizer Mujeeb</v>
      </c>
      <c r="C22" s="221"/>
      <c r="D22" s="222"/>
      <c r="E22" s="301">
        <f>'Salary Record'!K1036</f>
        <v>27500</v>
      </c>
      <c r="F22" s="301">
        <f>'Salary Record'!C1042</f>
        <v>31</v>
      </c>
      <c r="G22" s="302">
        <f>'Salary Record'!C1043</f>
        <v>0</v>
      </c>
      <c r="H22" s="301">
        <f>'Salary Record'!I1041</f>
        <v>91</v>
      </c>
      <c r="I22" s="301">
        <f>'Salary Record'!I1040</f>
        <v>31</v>
      </c>
      <c r="J22" s="274">
        <f>'Salary Record'!K1041</f>
        <v>10090.725806451614</v>
      </c>
      <c r="K22" s="301">
        <f>'Salary Record'!K1042</f>
        <v>37590.725806451614</v>
      </c>
      <c r="L22" s="275">
        <f>'Salary Record'!G1040</f>
        <v>0</v>
      </c>
      <c r="M22" s="276">
        <f>'Salary Record'!G1041</f>
        <v>0</v>
      </c>
      <c r="N22" s="277" t="str">
        <f>'Salary Record'!G1042</f>
        <v/>
      </c>
      <c r="O22" s="276">
        <f>'Salary Record'!G1043</f>
        <v>0</v>
      </c>
      <c r="P22" s="277" t="str">
        <f>'Salary Record'!G1044</f>
        <v/>
      </c>
      <c r="Q22" s="341">
        <f>'Salary Record'!K1044</f>
        <v>37590.725806451614</v>
      </c>
      <c r="R22" s="223"/>
      <c r="S22" s="224">
        <f>Q22-R22</f>
        <v>37590.725806451614</v>
      </c>
      <c r="T22" s="210" t="s">
        <v>186</v>
      </c>
      <c r="V22" s="226">
        <f>V21-V17-V18</f>
        <v>-87373.38709677424</v>
      </c>
    </row>
    <row r="23" spans="1:24" ht="20.25" customHeight="1" x14ac:dyDescent="0.25">
      <c r="A23" s="317">
        <v>2</v>
      </c>
      <c r="B23" s="278" t="str">
        <f>'Salary Record'!C1021</f>
        <v>Hassan Khan</v>
      </c>
      <c r="C23" s="103"/>
      <c r="D23" s="96"/>
      <c r="E23" s="22">
        <f>'Salary Record'!K1020</f>
        <v>22500</v>
      </c>
      <c r="F23" s="22">
        <f>'Salary Record'!C1026</f>
        <v>31</v>
      </c>
      <c r="G23" s="16">
        <f>'Salary Record'!C1027</f>
        <v>0</v>
      </c>
      <c r="H23" s="22">
        <f>'Salary Record'!I1025</f>
        <v>88</v>
      </c>
      <c r="I23" s="22">
        <f>'Salary Record'!I1024</f>
        <v>31</v>
      </c>
      <c r="J23" s="16">
        <f>'Salary Record'!K1025</f>
        <v>7983.8709677419347</v>
      </c>
      <c r="K23" s="10">
        <f>'Salary Record'!K1026</f>
        <v>30483.870967741936</v>
      </c>
      <c r="L23" s="9">
        <f>'Salary Record'!G1024</f>
        <v>0</v>
      </c>
      <c r="M23" s="17">
        <f>'Salary Record'!G1025</f>
        <v>0</v>
      </c>
      <c r="N23" s="18" t="str">
        <f>'Salary Record'!G1026</f>
        <v/>
      </c>
      <c r="O23" s="17">
        <f>'Salary Record'!G1027</f>
        <v>0</v>
      </c>
      <c r="P23" s="18" t="str">
        <f>'Salary Record'!G1028</f>
        <v/>
      </c>
      <c r="Q23" s="163">
        <f>'Salary Record'!K1028</f>
        <v>30483.870967741936</v>
      </c>
      <c r="R23" s="23"/>
      <c r="S23" s="23"/>
      <c r="T23" s="147"/>
    </row>
    <row r="24" spans="1:24" s="211" customFormat="1" ht="20.25" customHeight="1" x14ac:dyDescent="0.2">
      <c r="A24" s="314">
        <v>3</v>
      </c>
      <c r="B24" s="343" t="str">
        <f>'Salary Record'!C958</f>
        <v>Junaid</v>
      </c>
      <c r="C24" s="227"/>
      <c r="D24" s="228"/>
      <c r="E24" s="282">
        <f>'Salary Record'!K957</f>
        <v>22500</v>
      </c>
      <c r="F24" s="378">
        <f>'Salary Record'!C963</f>
        <v>31</v>
      </c>
      <c r="G24" s="379">
        <f>'Salary Record'!C964</f>
        <v>0</v>
      </c>
      <c r="H24" s="412">
        <f>'Salary Record'!I962</f>
        <v>57</v>
      </c>
      <c r="I24" s="282">
        <f>'Salary Record'!I961</f>
        <v>31</v>
      </c>
      <c r="J24" s="281">
        <f>'Salary Record'!K962</f>
        <v>5171.3709677419347</v>
      </c>
      <c r="K24" s="116">
        <f>'Salary Record'!K963</f>
        <v>27671.370967741936</v>
      </c>
      <c r="L24" s="282">
        <f>'Salary Record'!G961</f>
        <v>0</v>
      </c>
      <c r="M24" s="282">
        <f>'Salary Record'!G962</f>
        <v>0</v>
      </c>
      <c r="N24" s="284">
        <f>'Salary Record'!G963</f>
        <v>0</v>
      </c>
      <c r="O24" s="282">
        <f>'Salary Record'!G964</f>
        <v>0</v>
      </c>
      <c r="P24" s="284">
        <f>'Salary Record'!G965</f>
        <v>0</v>
      </c>
      <c r="Q24" s="287">
        <f>'Salary Record'!K965</f>
        <v>27671.370967741936</v>
      </c>
      <c r="R24" s="229"/>
      <c r="S24" s="163">
        <f>Q24-R24</f>
        <v>27671.370967741936</v>
      </c>
      <c r="T24" s="210"/>
      <c r="V24" s="212"/>
      <c r="X24" s="210"/>
    </row>
    <row r="25" spans="1:24" s="310" customFormat="1" ht="21" x14ac:dyDescent="0.3">
      <c r="A25" s="431" t="s">
        <v>2</v>
      </c>
      <c r="B25" s="432"/>
      <c r="C25" s="353"/>
      <c r="D25" s="353"/>
      <c r="E25" s="355">
        <f>SUM(E22:E24)</f>
        <v>72500</v>
      </c>
      <c r="F25" s="353"/>
      <c r="G25" s="353"/>
      <c r="H25" s="353"/>
      <c r="I25" s="353"/>
      <c r="J25" s="373">
        <f>SUM(J22:J24)</f>
        <v>23245.967741935485</v>
      </c>
      <c r="K25" s="353"/>
      <c r="L25" s="353"/>
      <c r="M25" s="353"/>
      <c r="N25" s="353"/>
      <c r="O25" s="353"/>
      <c r="P25" s="353"/>
      <c r="Q25" s="308">
        <f>SUM(Q22:Q24)</f>
        <v>95745.967741935485</v>
      </c>
      <c r="R25" s="347">
        <f>SUM(R20:R24)</f>
        <v>0</v>
      </c>
      <c r="S25" s="347">
        <f>SUM(S20:S24)</f>
        <v>65262.096774193546</v>
      </c>
      <c r="T25" s="309"/>
      <c r="V25" s="311"/>
    </row>
    <row r="26" spans="1:24" s="310" customFormat="1" ht="21" x14ac:dyDescent="0.3">
      <c r="A26" s="349"/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50"/>
      <c r="R26" s="351"/>
      <c r="S26" s="351"/>
      <c r="T26" s="351"/>
      <c r="V26" s="352"/>
    </row>
    <row r="27" spans="1:24" s="263" customFormat="1" ht="21" customHeight="1" x14ac:dyDescent="0.2">
      <c r="A27" s="428" t="s">
        <v>108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  <c r="L27" s="429"/>
      <c r="M27" s="429"/>
      <c r="N27" s="429"/>
      <c r="O27" s="429"/>
      <c r="P27" s="429"/>
      <c r="Q27" s="430"/>
      <c r="R27" s="261"/>
      <c r="S27" s="261"/>
      <c r="T27" s="422"/>
      <c r="V27" s="264"/>
    </row>
    <row r="28" spans="1:24" s="211" customFormat="1" ht="21" customHeight="1" x14ac:dyDescent="0.2">
      <c r="A28" s="314">
        <v>1</v>
      </c>
      <c r="B28" s="418" t="str">
        <f>'Salary Record'!C942</f>
        <v>Ahsan Razak</v>
      </c>
      <c r="C28" s="232"/>
      <c r="D28" s="233"/>
      <c r="E28" s="116">
        <f>'Salary Record'!K941</f>
        <v>24500</v>
      </c>
      <c r="F28" s="116">
        <f>'Salary Record'!C947</f>
        <v>31</v>
      </c>
      <c r="G28" s="285">
        <f>'Salary Record'!C948</f>
        <v>0</v>
      </c>
      <c r="H28" s="116">
        <f>'Salary Record'!I946</f>
        <v>53</v>
      </c>
      <c r="I28" s="116">
        <f>'Salary Record'!I945</f>
        <v>31</v>
      </c>
      <c r="J28" s="285">
        <f>'Salary Record'!K946</f>
        <v>5235.8870967741941</v>
      </c>
      <c r="K28" s="285">
        <f>'Salary Record'!K947</f>
        <v>29735.887096774193</v>
      </c>
      <c r="L28" s="305">
        <f>'Salary Record'!G945</f>
        <v>0</v>
      </c>
      <c r="M28" s="116">
        <f>'Salary Record'!G946</f>
        <v>0</v>
      </c>
      <c r="N28" s="300">
        <f>'Salary Record'!G947</f>
        <v>0</v>
      </c>
      <c r="O28" s="116">
        <f>'Salary Record'!G948</f>
        <v>0</v>
      </c>
      <c r="P28" s="300">
        <f>'Salary Record'!G949</f>
        <v>0</v>
      </c>
      <c r="Q28" s="287">
        <f>'Salary Record'!K949</f>
        <v>29735.887096774193</v>
      </c>
      <c r="R28" s="163">
        <v>5000</v>
      </c>
      <c r="S28" s="163">
        <f>Q28-R28</f>
        <v>24735.887096774193</v>
      </c>
      <c r="T28" s="210" t="s">
        <v>186</v>
      </c>
      <c r="U28" s="210"/>
      <c r="V28" s="218"/>
    </row>
    <row r="29" spans="1:24" s="211" customFormat="1" ht="21" customHeight="1" x14ac:dyDescent="0.2">
      <c r="A29" s="314">
        <v>2</v>
      </c>
      <c r="B29" s="418" t="str">
        <f>'Salary Record'!C1053</f>
        <v>Suleman Dilawer</v>
      </c>
      <c r="C29" s="230"/>
      <c r="D29" s="231"/>
      <c r="E29" s="116">
        <f>'Salary Record'!K1052</f>
        <v>25000</v>
      </c>
      <c r="F29" s="116">
        <f>'Salary Record'!C1058</f>
        <v>31</v>
      </c>
      <c r="G29" s="285">
        <f>'Salary Record'!C1059</f>
        <v>0</v>
      </c>
      <c r="H29" s="116">
        <f>'Salary Record'!I1057</f>
        <v>74</v>
      </c>
      <c r="I29" s="116">
        <f>'Salary Record'!I1056</f>
        <v>31</v>
      </c>
      <c r="J29" s="281">
        <f>'Salary Record'!K1057</f>
        <v>7459.677419354839</v>
      </c>
      <c r="K29" s="281">
        <f>'Salary Record'!K1058</f>
        <v>32459.677419354841</v>
      </c>
      <c r="L29" s="282">
        <f>'Salary Record'!G1056</f>
        <v>23000</v>
      </c>
      <c r="M29" s="283">
        <f>'Salary Record'!G1057</f>
        <v>0</v>
      </c>
      <c r="N29" s="284">
        <f>'Salary Record'!G1058</f>
        <v>23000</v>
      </c>
      <c r="O29" s="283">
        <f>'Salary Record'!G1059</f>
        <v>5000</v>
      </c>
      <c r="P29" s="284">
        <f>'Salary Record'!G1060</f>
        <v>18000</v>
      </c>
      <c r="Q29" s="287">
        <f>'Salary Record'!K1060</f>
        <v>27459.677419354841</v>
      </c>
      <c r="R29" s="239">
        <v>0</v>
      </c>
      <c r="S29" s="163"/>
      <c r="T29" s="210"/>
      <c r="V29" s="212"/>
    </row>
    <row r="30" spans="1:24" s="211" customFormat="1" ht="21" customHeight="1" x14ac:dyDescent="0.2">
      <c r="A30" s="314">
        <v>3</v>
      </c>
      <c r="B30" s="418" t="str">
        <f>'Salary Record'!C1085</f>
        <v>Mumtaz Ali Chakar</v>
      </c>
      <c r="C30" s="230"/>
      <c r="D30" s="231"/>
      <c r="E30" s="304">
        <f>'Salary Record'!K1084</f>
        <v>32500</v>
      </c>
      <c r="F30" s="304">
        <f>'Salary Record'!C1090</f>
        <v>31</v>
      </c>
      <c r="G30" s="281">
        <f>'Salary Record'!C1091</f>
        <v>0</v>
      </c>
      <c r="H30" s="304">
        <f>'Salary Record'!I1089</f>
        <v>14</v>
      </c>
      <c r="I30" s="304">
        <f>'Salary Record'!I1088</f>
        <v>31</v>
      </c>
      <c r="J30" s="281">
        <f>'Salary Record'!K1089</f>
        <v>1834.677419354839</v>
      </c>
      <c r="K30" s="116">
        <f>'Salary Record'!K1090</f>
        <v>34334.677419354841</v>
      </c>
      <c r="L30" s="282">
        <f>'Salary Record'!G1088</f>
        <v>0</v>
      </c>
      <c r="M30" s="283">
        <f>'Salary Record'!G1089</f>
        <v>0</v>
      </c>
      <c r="N30" s="284">
        <f>'Salary Record'!G1090</f>
        <v>0</v>
      </c>
      <c r="O30" s="283">
        <f>'Salary Record'!G1091</f>
        <v>0</v>
      </c>
      <c r="P30" s="284">
        <f>'Salary Record'!G1092</f>
        <v>0</v>
      </c>
      <c r="Q30" s="287">
        <f>'Salary Record'!K1092</f>
        <v>34334.677419354841</v>
      </c>
      <c r="R30" s="229">
        <v>0</v>
      </c>
      <c r="S30" s="163"/>
      <c r="T30" s="210"/>
      <c r="V30" s="212"/>
    </row>
    <row r="31" spans="1:24" ht="15.75" x14ac:dyDescent="0.25">
      <c r="A31" s="314">
        <v>4</v>
      </c>
      <c r="B31" s="418" t="str">
        <f>'Salary Record'!C1229</f>
        <v>Sufyan</v>
      </c>
      <c r="C31" s="106"/>
      <c r="D31" s="94"/>
      <c r="E31" s="9">
        <f>'Salary Record'!K1228</f>
        <v>21000</v>
      </c>
      <c r="F31" s="9">
        <f>'Salary Record'!C1234</f>
        <v>30</v>
      </c>
      <c r="G31" s="21">
        <f>'Salary Record'!C1235</f>
        <v>1</v>
      </c>
      <c r="H31" s="9">
        <f>'Salary Record'!I1233</f>
        <v>42</v>
      </c>
      <c r="I31" s="9">
        <f>'Salary Record'!I1232</f>
        <v>30</v>
      </c>
      <c r="J31" s="16">
        <f>'Salary Record'!K1233</f>
        <v>3556.4516129032254</v>
      </c>
      <c r="K31" s="16">
        <f>'Salary Record'!K1234</f>
        <v>23879.032258064515</v>
      </c>
      <c r="L31" s="9">
        <f>'Salary Record'!G1232</f>
        <v>0</v>
      </c>
      <c r="M31" s="9">
        <f>'Salary Record'!G1233</f>
        <v>0</v>
      </c>
      <c r="N31" s="18">
        <f>'Salary Record'!G1234</f>
        <v>0</v>
      </c>
      <c r="O31" s="9">
        <f>'Salary Record'!G1235</f>
        <v>0</v>
      </c>
      <c r="P31" s="18">
        <f>'Salary Record'!G1236</f>
        <v>0</v>
      </c>
      <c r="Q31" s="163">
        <f>'Salary Record'!K1236</f>
        <v>23879.032258064515</v>
      </c>
      <c r="R31" s="169"/>
      <c r="S31" s="23"/>
      <c r="T31" s="147"/>
      <c r="U31" s="8"/>
    </row>
    <row r="32" spans="1:24" s="310" customFormat="1" ht="21" x14ac:dyDescent="0.3">
      <c r="A32" s="431" t="s">
        <v>2</v>
      </c>
      <c r="B32" s="432"/>
      <c r="C32" s="353"/>
      <c r="D32" s="353"/>
      <c r="E32" s="355">
        <f>SUM(E28:E31)</f>
        <v>103000</v>
      </c>
      <c r="F32" s="353"/>
      <c r="G32" s="353"/>
      <c r="H32" s="353"/>
      <c r="I32" s="353"/>
      <c r="J32" s="355">
        <f ca="1">SUM(J28:J83)</f>
        <v>20904.166666666664</v>
      </c>
      <c r="K32" s="353"/>
      <c r="L32" s="353"/>
      <c r="M32" s="353"/>
      <c r="N32" s="353"/>
      <c r="O32" s="353"/>
      <c r="P32" s="353"/>
      <c r="Q32" s="308">
        <f>SUM(Q28:Q31)</f>
        <v>115409.27419354839</v>
      </c>
      <c r="R32" s="347">
        <f ca="1">SUM(R27:R83)</f>
        <v>5000</v>
      </c>
      <c r="S32" s="347">
        <f ca="1">SUM(S27:S83)</f>
        <v>19757.291666666664</v>
      </c>
      <c r="T32" s="309"/>
      <c r="U32" s="351">
        <f>Q32+Q25</f>
        <v>211155.24193548388</v>
      </c>
      <c r="V32" s="311"/>
    </row>
    <row r="33" spans="1:26" s="310" customFormat="1" ht="21" x14ac:dyDescent="0.3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50"/>
      <c r="R33" s="351"/>
      <c r="S33" s="351"/>
      <c r="T33" s="351"/>
      <c r="V33" s="352"/>
    </row>
    <row r="34" spans="1:26" s="270" customFormat="1" ht="21" customHeight="1" x14ac:dyDescent="0.2">
      <c r="A34" s="433" t="s">
        <v>37</v>
      </c>
      <c r="B34" s="434"/>
      <c r="C34" s="434"/>
      <c r="D34" s="434"/>
      <c r="E34" s="434"/>
      <c r="F34" s="434"/>
      <c r="G34" s="434"/>
      <c r="H34" s="434"/>
      <c r="I34" s="434"/>
      <c r="J34" s="434"/>
      <c r="K34" s="434"/>
      <c r="L34" s="434"/>
      <c r="M34" s="434"/>
      <c r="N34" s="434"/>
      <c r="O34" s="434"/>
      <c r="P34" s="434"/>
      <c r="Q34" s="435"/>
      <c r="R34" s="266"/>
      <c r="S34" s="266"/>
      <c r="T34" s="267"/>
      <c r="U34" s="268"/>
      <c r="V34" s="269"/>
    </row>
    <row r="35" spans="1:26" s="211" customFormat="1" ht="21" customHeight="1" x14ac:dyDescent="0.2">
      <c r="A35" s="315">
        <v>1</v>
      </c>
      <c r="B35" s="278" t="s">
        <v>5</v>
      </c>
      <c r="C35" s="234"/>
      <c r="D35" s="235"/>
      <c r="E35" s="285">
        <f>'Salary Record'!K330</f>
        <v>54000</v>
      </c>
      <c r="F35" s="285">
        <f>'Salary Record'!C336</f>
        <v>31</v>
      </c>
      <c r="G35" s="285">
        <f>'Salary Record'!C337</f>
        <v>0</v>
      </c>
      <c r="H35" s="285">
        <f>'Salary Record'!I335</f>
        <v>14</v>
      </c>
      <c r="I35" s="285">
        <f>'Salary Record'!I334</f>
        <v>31</v>
      </c>
      <c r="J35" s="281">
        <f>'Salary Record'!K335</f>
        <v>3048.3870967741937</v>
      </c>
      <c r="K35" s="281">
        <f>'Salary Record'!K336</f>
        <v>57048.387096774197</v>
      </c>
      <c r="L35" s="282">
        <f>'Salary Record'!G334</f>
        <v>123200</v>
      </c>
      <c r="M35" s="283">
        <f>'Salary Record'!G335</f>
        <v>0</v>
      </c>
      <c r="N35" s="284">
        <f>'Salary Record'!G336</f>
        <v>123200</v>
      </c>
      <c r="O35" s="283">
        <f>'Salary Record'!G337</f>
        <v>5000</v>
      </c>
      <c r="P35" s="284">
        <f>'Salary Record'!G338</f>
        <v>118200</v>
      </c>
      <c r="Q35" s="287">
        <f>'Salary Record'!K338</f>
        <v>52048.387096774197</v>
      </c>
      <c r="R35" s="163"/>
      <c r="S35" s="163"/>
      <c r="T35" s="210" t="s">
        <v>165</v>
      </c>
      <c r="U35" s="212"/>
      <c r="V35" s="212"/>
    </row>
    <row r="36" spans="1:26" s="211" customFormat="1" ht="21" customHeight="1" x14ac:dyDescent="0.2">
      <c r="A36" s="315">
        <v>2</v>
      </c>
      <c r="B36" s="278" t="str">
        <f>'Salary Record'!C219</f>
        <v>Amir (JPMC)</v>
      </c>
      <c r="C36" s="236"/>
      <c r="D36" s="233"/>
      <c r="E36" s="116">
        <f>'Salary Record'!K218</f>
        <v>38000</v>
      </c>
      <c r="F36" s="116">
        <f>'Salary Record'!C224</f>
        <v>31</v>
      </c>
      <c r="G36" s="285">
        <f>'Salary Record'!C225</f>
        <v>0</v>
      </c>
      <c r="H36" s="116">
        <f>'Salary Record'!I223</f>
        <v>4</v>
      </c>
      <c r="I36" s="116">
        <f>'Salary Record'!I222</f>
        <v>31</v>
      </c>
      <c r="J36" s="281">
        <f>'Salary Record'!K223</f>
        <v>612.90322580645159</v>
      </c>
      <c r="K36" s="281">
        <f>'Salary Record'!K224</f>
        <v>38612.903225806454</v>
      </c>
      <c r="L36" s="282">
        <f>'Salary Record'!G222</f>
        <v>85500</v>
      </c>
      <c r="M36" s="282">
        <f>'Salary Record'!G223</f>
        <v>12050</v>
      </c>
      <c r="N36" s="284">
        <f>'Salary Record'!G224</f>
        <v>97550</v>
      </c>
      <c r="O36" s="282">
        <f>'Salary Record'!G225</f>
        <v>12050</v>
      </c>
      <c r="P36" s="284">
        <f>'Salary Record'!G226</f>
        <v>85500</v>
      </c>
      <c r="Q36" s="287">
        <f>'Salary Record'!K226</f>
        <v>26562.903225806454</v>
      </c>
      <c r="R36" s="163"/>
      <c r="S36" s="163"/>
      <c r="T36" s="210" t="s">
        <v>171</v>
      </c>
      <c r="U36" s="210" t="s">
        <v>174</v>
      </c>
      <c r="V36" s="212" t="s">
        <v>168</v>
      </c>
    </row>
    <row r="37" spans="1:26" s="211" customFormat="1" ht="21" customHeight="1" x14ac:dyDescent="0.2">
      <c r="A37" s="315">
        <v>3</v>
      </c>
      <c r="B37" s="278" t="str">
        <f>'Salary Record'!C1181</f>
        <v>Adil (JPMC)</v>
      </c>
      <c r="C37" s="227"/>
      <c r="D37" s="228"/>
      <c r="E37" s="281">
        <f>'Salary Record'!K1180</f>
        <v>18000</v>
      </c>
      <c r="F37" s="281">
        <f>'Salary Record'!C1186</f>
        <v>30</v>
      </c>
      <c r="G37" s="285">
        <f>'Salary Record'!C1187</f>
        <v>1</v>
      </c>
      <c r="H37" s="281">
        <f>'Salary Record'!I1185</f>
        <v>15</v>
      </c>
      <c r="I37" s="281">
        <f>'Salary Record'!I1184</f>
        <v>30</v>
      </c>
      <c r="J37" s="281">
        <f>'Salary Record'!K1185</f>
        <v>1088.7096774193549</v>
      </c>
      <c r="K37" s="116">
        <f>'Salary Record'!K1186</f>
        <v>18508.064516129034</v>
      </c>
      <c r="L37" s="282">
        <f>'Salary Record'!G1184</f>
        <v>4000</v>
      </c>
      <c r="M37" s="283">
        <f>'Salary Record'!G1185</f>
        <v>7000</v>
      </c>
      <c r="N37" s="284">
        <f>'Salary Record'!G1186</f>
        <v>11000</v>
      </c>
      <c r="O37" s="283">
        <f>'Salary Record'!G1187</f>
        <v>5000</v>
      </c>
      <c r="P37" s="284">
        <f>'Salary Record'!G1188</f>
        <v>6000</v>
      </c>
      <c r="Q37" s="287">
        <f>'Salary Record'!K1188</f>
        <v>13508.064516129034</v>
      </c>
      <c r="R37" s="163"/>
      <c r="S37" s="163"/>
      <c r="T37" s="210"/>
      <c r="U37" s="210"/>
      <c r="V37" s="212"/>
      <c r="X37" s="210"/>
    </row>
    <row r="38" spans="1:26" s="211" customFormat="1" ht="21" customHeight="1" x14ac:dyDescent="0.2">
      <c r="A38" s="315">
        <v>4</v>
      </c>
      <c r="B38" s="413" t="s">
        <v>26</v>
      </c>
      <c r="C38" s="236"/>
      <c r="D38" s="233"/>
      <c r="E38" s="116">
        <f>'Salary Record'!K234</f>
        <v>35000</v>
      </c>
      <c r="F38" s="116">
        <f>'Salary Record'!C240</f>
        <v>31</v>
      </c>
      <c r="G38" s="285">
        <f>'Salary Record'!C241</f>
        <v>0</v>
      </c>
      <c r="H38" s="116">
        <f>'Salary Record'!I239</f>
        <v>0</v>
      </c>
      <c r="I38" s="116">
        <f>'Salary Record'!I238</f>
        <v>31</v>
      </c>
      <c r="J38" s="281">
        <f>'Salary Record'!K239</f>
        <v>0</v>
      </c>
      <c r="K38" s="116">
        <f>'Salary Record'!K240</f>
        <v>35000</v>
      </c>
      <c r="L38" s="282">
        <f>'Salary Record'!G238</f>
        <v>0</v>
      </c>
      <c r="M38" s="283">
        <f>'Salary Record'!G239</f>
        <v>0</v>
      </c>
      <c r="N38" s="284" t="str">
        <f>'Salary Record'!G240</f>
        <v/>
      </c>
      <c r="O38" s="283">
        <f>'Salary Record'!G241</f>
        <v>0</v>
      </c>
      <c r="P38" s="284" t="str">
        <f>'Salary Record'!G242</f>
        <v/>
      </c>
      <c r="Q38" s="287">
        <f>'Salary Record'!K242</f>
        <v>35000</v>
      </c>
      <c r="R38" s="163"/>
      <c r="S38" s="163"/>
      <c r="T38" s="210" t="s">
        <v>172</v>
      </c>
      <c r="U38" s="210" t="s">
        <v>173</v>
      </c>
      <c r="V38" s="212" t="s">
        <v>164</v>
      </c>
    </row>
    <row r="39" spans="1:26" s="211" customFormat="1" ht="21" customHeight="1" x14ac:dyDescent="0.2">
      <c r="A39" s="315">
        <v>5</v>
      </c>
      <c r="B39" s="364" t="s">
        <v>4</v>
      </c>
      <c r="C39" s="227"/>
      <c r="D39" s="228"/>
      <c r="E39" s="285">
        <f>'Salary Record'!K314</f>
        <v>30000</v>
      </c>
      <c r="F39" s="285">
        <f>'Salary Record'!C320</f>
        <v>27</v>
      </c>
      <c r="G39" s="285">
        <f>'Salary Record'!C321</f>
        <v>4</v>
      </c>
      <c r="H39" s="285">
        <f>'Salary Record'!I319</f>
        <v>79</v>
      </c>
      <c r="I39" s="285">
        <f>'Salary Record'!I318</f>
        <v>31</v>
      </c>
      <c r="J39" s="281">
        <f>'Salary Record'!K319</f>
        <v>9556.4516129032254</v>
      </c>
      <c r="K39" s="116">
        <f>'Salary Record'!K320</f>
        <v>39556.451612903227</v>
      </c>
      <c r="L39" s="282">
        <f>'Salary Record'!G318</f>
        <v>35000</v>
      </c>
      <c r="M39" s="283">
        <f>'Salary Record'!G319</f>
        <v>0</v>
      </c>
      <c r="N39" s="284">
        <f>'Salary Record'!G320</f>
        <v>35000</v>
      </c>
      <c r="O39" s="283">
        <f>'Salary Record'!G321</f>
        <v>5000</v>
      </c>
      <c r="P39" s="284">
        <f>'Salary Record'!G322</f>
        <v>30000</v>
      </c>
      <c r="Q39" s="287">
        <f>'Salary Record'!K322</f>
        <v>34556.451612903227</v>
      </c>
      <c r="R39" s="163"/>
      <c r="S39" s="163"/>
      <c r="T39" s="210" t="s">
        <v>166</v>
      </c>
      <c r="U39" s="211" t="s">
        <v>167</v>
      </c>
      <c r="V39" s="212" t="s">
        <v>168</v>
      </c>
      <c r="W39" s="210"/>
      <c r="X39" s="210"/>
    </row>
    <row r="40" spans="1:26" s="211" customFormat="1" ht="21" customHeight="1" x14ac:dyDescent="0.2">
      <c r="A40" s="315">
        <v>6</v>
      </c>
      <c r="B40" s="424" t="str">
        <f>'Salary Record'!C910</f>
        <v>Amjad Ustad</v>
      </c>
      <c r="C40" s="230"/>
      <c r="D40" s="231"/>
      <c r="E40" s="376">
        <f>'Salary Record'!K909</f>
        <v>47000</v>
      </c>
      <c r="F40" s="282">
        <f>'Salary Record'!C915</f>
        <v>30</v>
      </c>
      <c r="G40" s="288">
        <f>'Salary Record'!C916</f>
        <v>1</v>
      </c>
      <c r="H40" s="282">
        <f>'Salary Record'!I914</f>
        <v>6</v>
      </c>
      <c r="I40" s="282">
        <f>'Salary Record'!I913</f>
        <v>31</v>
      </c>
      <c r="J40" s="281">
        <f>'Salary Record'!K914</f>
        <v>1137.0967741935485</v>
      </c>
      <c r="K40" s="281">
        <f>'Salary Record'!K915</f>
        <v>48137.096774193546</v>
      </c>
      <c r="L40" s="282">
        <f>'Salary Record'!G913</f>
        <v>9000</v>
      </c>
      <c r="M40" s="282">
        <f>'Salary Record'!G914</f>
        <v>4000</v>
      </c>
      <c r="N40" s="284">
        <f>'Salary Record'!G915</f>
        <v>13000</v>
      </c>
      <c r="O40" s="282">
        <f>'Salary Record'!G916</f>
        <v>2500</v>
      </c>
      <c r="P40" s="284">
        <f>'Salary Record'!G917</f>
        <v>10500</v>
      </c>
      <c r="Q40" s="287">
        <f>'Salary Record'!K917</f>
        <v>45637.096774193546</v>
      </c>
      <c r="R40" s="229"/>
      <c r="S40" s="163"/>
      <c r="T40" s="210" t="s">
        <v>217</v>
      </c>
      <c r="U40" s="210">
        <f>Q23+Q40+Q63+Q64+Q35+Q36+Q38</f>
        <v>291788.70967741939</v>
      </c>
      <c r="V40" s="212">
        <v>10000</v>
      </c>
    </row>
    <row r="41" spans="1:26" s="211" customFormat="1" ht="21" customHeight="1" x14ac:dyDescent="0.2">
      <c r="A41" s="315">
        <v>7</v>
      </c>
      <c r="B41" s="278" t="str">
        <f>'Salary Record'!C426</f>
        <v>Amir (Plumber)</v>
      </c>
      <c r="C41" s="237"/>
      <c r="D41" s="238"/>
      <c r="E41" s="285">
        <f>'Salary Record'!K425</f>
        <v>28000</v>
      </c>
      <c r="F41" s="285">
        <f>'Salary Record'!C431</f>
        <v>30</v>
      </c>
      <c r="G41" s="285">
        <f>'Salary Record'!C432</f>
        <v>1</v>
      </c>
      <c r="H41" s="285">
        <f>'Salary Record'!I430</f>
        <v>9</v>
      </c>
      <c r="I41" s="285">
        <f>'Salary Record'!I429</f>
        <v>30</v>
      </c>
      <c r="J41" s="281">
        <f>'Salary Record'!K430</f>
        <v>1016.1290322580645</v>
      </c>
      <c r="K41" s="281">
        <f>'Salary Record'!K431</f>
        <v>28112.903225806451</v>
      </c>
      <c r="L41" s="282">
        <f>'Salary Record'!G429</f>
        <v>4000</v>
      </c>
      <c r="M41" s="283">
        <f>'Salary Record'!G430</f>
        <v>50</v>
      </c>
      <c r="N41" s="284">
        <f>'Salary Record'!G431</f>
        <v>4050</v>
      </c>
      <c r="O41" s="283">
        <f>'Salary Record'!G432</f>
        <v>2000</v>
      </c>
      <c r="P41" s="284">
        <f>'Salary Record'!G433</f>
        <v>2050</v>
      </c>
      <c r="Q41" s="287">
        <f>'Salary Record'!K433</f>
        <v>26112.903225806451</v>
      </c>
      <c r="R41" s="163"/>
      <c r="S41" s="163"/>
      <c r="T41" s="210" t="s">
        <v>155</v>
      </c>
      <c r="U41" s="210" t="s">
        <v>156</v>
      </c>
      <c r="V41" s="212" t="s">
        <v>157</v>
      </c>
    </row>
    <row r="42" spans="1:26" s="211" customFormat="1" ht="15.75" x14ac:dyDescent="0.2">
      <c r="A42" s="315">
        <v>8</v>
      </c>
      <c r="B42" s="278" t="str">
        <f>'Salary Record'!C1261</f>
        <v>Kashif</v>
      </c>
      <c r="C42" s="214"/>
      <c r="D42" s="215"/>
      <c r="E42" s="116">
        <f>'Salary Record'!K1260</f>
        <v>40000</v>
      </c>
      <c r="F42" s="116">
        <f>'Salary Record'!C1266</f>
        <v>30</v>
      </c>
      <c r="G42" s="285">
        <f>'Salary Record'!C1267</f>
        <v>1</v>
      </c>
      <c r="H42" s="116">
        <f>'Salary Record'!I1265</f>
        <v>11</v>
      </c>
      <c r="I42" s="116">
        <f>'Salary Record'!I1264</f>
        <v>30</v>
      </c>
      <c r="J42" s="290">
        <f>'Salary Record'!K1265</f>
        <v>1774.1935483870966</v>
      </c>
      <c r="K42" s="290">
        <f>'Salary Record'!K1266</f>
        <v>40483.870967741932</v>
      </c>
      <c r="L42" s="291">
        <f>'Salary Record'!G1264</f>
        <v>4000</v>
      </c>
      <c r="M42" s="292">
        <f>'Salary Record'!G1265</f>
        <v>5000</v>
      </c>
      <c r="N42" s="293">
        <f>'Salary Record'!G1266</f>
        <v>9000</v>
      </c>
      <c r="O42" s="292">
        <f>'Salary Record'!G1267</f>
        <v>9000</v>
      </c>
      <c r="P42" s="293">
        <f>'Salary Record'!G1268</f>
        <v>0</v>
      </c>
      <c r="Q42" s="294">
        <f>'Salary Record'!K1268</f>
        <v>31483.870967741932</v>
      </c>
      <c r="R42" s="163">
        <v>22000</v>
      </c>
      <c r="S42" s="163">
        <f>Q42-R42</f>
        <v>9483.870967741932</v>
      </c>
      <c r="T42" s="210"/>
      <c r="U42" s="210"/>
      <c r="V42" s="218"/>
      <c r="Y42" s="211">
        <f>X42*W42</f>
        <v>0</v>
      </c>
    </row>
    <row r="43" spans="1:26" s="211" customFormat="1" ht="21" customHeight="1" x14ac:dyDescent="0.2">
      <c r="A43" s="315">
        <v>9</v>
      </c>
      <c r="B43" s="278" t="str">
        <f>'Salary Record'!C862</f>
        <v>Raheel</v>
      </c>
      <c r="C43" s="232"/>
      <c r="D43" s="233"/>
      <c r="E43" s="116">
        <f>'Salary Record'!K861</f>
        <v>22000</v>
      </c>
      <c r="F43" s="116">
        <f>'Salary Record'!C867</f>
        <v>27</v>
      </c>
      <c r="G43" s="285">
        <f>'Salary Record'!C868</f>
        <v>4</v>
      </c>
      <c r="H43" s="116">
        <f>'Salary Record'!I866</f>
        <v>15</v>
      </c>
      <c r="I43" s="116">
        <f>'Salary Record'!I865</f>
        <v>29</v>
      </c>
      <c r="J43" s="285">
        <f>'Salary Record'!K866</f>
        <v>1330.6451612903224</v>
      </c>
      <c r="K43" s="285">
        <f>'Salary Record'!K867</f>
        <v>21911.290322580644</v>
      </c>
      <c r="L43" s="305">
        <f>'Salary Record'!G865</f>
        <v>8000</v>
      </c>
      <c r="M43" s="116">
        <f>'Salary Record'!G866</f>
        <v>6500</v>
      </c>
      <c r="N43" s="300">
        <f>'Salary Record'!G867</f>
        <v>14500</v>
      </c>
      <c r="O43" s="116">
        <f>'Salary Record'!G868</f>
        <v>2500</v>
      </c>
      <c r="P43" s="300">
        <f>'Salary Record'!G869</f>
        <v>12000</v>
      </c>
      <c r="Q43" s="287">
        <f>'Salary Record'!K869</f>
        <v>19411.290322580644</v>
      </c>
      <c r="R43" s="163">
        <v>18000</v>
      </c>
      <c r="S43" s="163">
        <f>Q43-R43</f>
        <v>1411.290322580644</v>
      </c>
      <c r="T43" s="210" t="s">
        <v>233</v>
      </c>
      <c r="U43" s="210" t="s">
        <v>234</v>
      </c>
      <c r="V43" s="212" t="s">
        <v>168</v>
      </c>
      <c r="X43" s="211">
        <f>X73+X72</f>
        <v>251900</v>
      </c>
    </row>
    <row r="44" spans="1:26" s="211" customFormat="1" ht="21" customHeight="1" x14ac:dyDescent="0.2">
      <c r="A44" s="315">
        <v>10</v>
      </c>
      <c r="B44" s="278" t="str">
        <f>'Salary Record'!C442</f>
        <v>Gul Sher</v>
      </c>
      <c r="C44" s="236"/>
      <c r="D44" s="233"/>
      <c r="E44" s="282">
        <f>'Salary Record'!K441</f>
        <v>24000</v>
      </c>
      <c r="F44" s="282">
        <f>'Salary Record'!C447</f>
        <v>8</v>
      </c>
      <c r="G44" s="288">
        <f>'Salary Record'!C448</f>
        <v>23</v>
      </c>
      <c r="H44" s="282">
        <f>'Salary Record'!I446</f>
        <v>18</v>
      </c>
      <c r="I44" s="282">
        <f>'Salary Record'!I445</f>
        <v>8</v>
      </c>
      <c r="J44" s="295">
        <f>'Salary Record'!K446</f>
        <v>1741.9354838709678</v>
      </c>
      <c r="K44" s="295">
        <f>'Salary Record'!K447</f>
        <v>7935.4838709677424</v>
      </c>
      <c r="L44" s="296">
        <f>'Salary Record'!G445</f>
        <v>5900</v>
      </c>
      <c r="M44" s="296">
        <f>'Salary Record'!G446</f>
        <v>0</v>
      </c>
      <c r="N44" s="306">
        <f>'Salary Record'!G447</f>
        <v>5900</v>
      </c>
      <c r="O44" s="296">
        <f>'Salary Record'!G448</f>
        <v>5900</v>
      </c>
      <c r="P44" s="306">
        <f>'Salary Record'!G449</f>
        <v>0</v>
      </c>
      <c r="Q44" s="380">
        <f>'Salary Record'!K449</f>
        <v>2035.4838709677424</v>
      </c>
      <c r="R44" s="163"/>
      <c r="S44" s="163"/>
      <c r="T44" s="210" t="s">
        <v>177</v>
      </c>
      <c r="U44" s="210" t="s">
        <v>178</v>
      </c>
      <c r="V44" s="212" t="s">
        <v>157</v>
      </c>
      <c r="X44" s="212"/>
      <c r="Y44" s="212"/>
      <c r="Z44" s="212"/>
    </row>
    <row r="45" spans="1:26" s="310" customFormat="1" ht="21" x14ac:dyDescent="0.3">
      <c r="A45" s="431" t="s">
        <v>2</v>
      </c>
      <c r="B45" s="432"/>
      <c r="C45" s="353"/>
      <c r="D45" s="353"/>
      <c r="E45" s="355">
        <f>SUM(E35:E44)</f>
        <v>336000</v>
      </c>
      <c r="F45" s="353"/>
      <c r="G45" s="353"/>
      <c r="H45" s="353"/>
      <c r="I45" s="353"/>
      <c r="J45" s="355">
        <f>SUM(J35:J44)</f>
        <v>21306.451612903227</v>
      </c>
      <c r="K45" s="353"/>
      <c r="L45" s="353"/>
      <c r="M45" s="353"/>
      <c r="N45" s="353"/>
      <c r="O45" s="353"/>
      <c r="P45" s="353"/>
      <c r="Q45" s="308">
        <f>SUM(Q35:Q44)</f>
        <v>286356.45161290327</v>
      </c>
      <c r="R45" s="347">
        <f>SUM(R41:R44)</f>
        <v>40000</v>
      </c>
      <c r="S45" s="347">
        <f>SUM(S41:S44)</f>
        <v>10895.161290322576</v>
      </c>
      <c r="T45" s="309"/>
      <c r="V45" s="311"/>
    </row>
    <row r="46" spans="1:26" s="259" customFormat="1" ht="21" customHeight="1" x14ac:dyDescent="0.2">
      <c r="A46" s="425" t="s">
        <v>103</v>
      </c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6"/>
      <c r="N46" s="426"/>
      <c r="O46" s="426"/>
      <c r="P46" s="426"/>
      <c r="Q46" s="427"/>
      <c r="R46" s="257"/>
      <c r="S46" s="257"/>
      <c r="T46" s="271">
        <f>Q45+Q65</f>
        <v>286356.45161290327</v>
      </c>
      <c r="U46" s="265">
        <f>Q36+Q65</f>
        <v>26562.903225806454</v>
      </c>
      <c r="V46" s="260"/>
    </row>
    <row r="47" spans="1:26" s="211" customFormat="1" ht="21" customHeight="1" x14ac:dyDescent="0.2">
      <c r="A47" s="315">
        <v>1</v>
      </c>
      <c r="B47" s="413" t="s">
        <v>11</v>
      </c>
      <c r="C47" s="249"/>
      <c r="D47" s="250"/>
      <c r="E47" s="283">
        <f>'Salary Record'!K682</f>
        <v>20000</v>
      </c>
      <c r="F47" s="283">
        <f>'Salary Record'!C688</f>
        <v>30</v>
      </c>
      <c r="G47" s="280">
        <f>'Salary Record'!C689</f>
        <v>1</v>
      </c>
      <c r="H47" s="283">
        <f>'Salary Record'!I687</f>
        <v>16</v>
      </c>
      <c r="I47" s="283">
        <f>'Salary Record'!I686</f>
        <v>31</v>
      </c>
      <c r="J47" s="281">
        <f>'Salary Record'!K687</f>
        <v>1290.3225806451612</v>
      </c>
      <c r="K47" s="281">
        <f>'Salary Record'!K688</f>
        <v>21290.322580645163</v>
      </c>
      <c r="L47" s="282">
        <f>'Salary Record'!G686</f>
        <v>5000</v>
      </c>
      <c r="M47" s="283">
        <f>'Salary Record'!G687</f>
        <v>0</v>
      </c>
      <c r="N47" s="284">
        <f>'Salary Record'!G688</f>
        <v>5000</v>
      </c>
      <c r="O47" s="283">
        <f>'Salary Record'!G689</f>
        <v>2000</v>
      </c>
      <c r="P47" s="284">
        <f>'Salary Record'!G690</f>
        <v>3000</v>
      </c>
      <c r="Q47" s="287">
        <f>'Salary Record'!K690</f>
        <v>19290.322580645163</v>
      </c>
      <c r="R47" s="163"/>
      <c r="S47" s="163"/>
      <c r="T47" s="210"/>
      <c r="U47" s="210"/>
      <c r="V47" s="212"/>
    </row>
    <row r="48" spans="1:26" s="211" customFormat="1" ht="21" customHeight="1" x14ac:dyDescent="0.2">
      <c r="A48" s="314">
        <v>2</v>
      </c>
      <c r="B48" s="414" t="str">
        <f>'Salary Record'!C603</f>
        <v>M. Sami</v>
      </c>
      <c r="C48" s="248" t="s">
        <v>100</v>
      </c>
      <c r="D48" s="247">
        <f>Q48</f>
        <v>31245.967741935485</v>
      </c>
      <c r="E48" s="116">
        <f>'Salary Record'!K602</f>
        <v>27000</v>
      </c>
      <c r="F48" s="116">
        <f>'Salary Record'!C608</f>
        <v>31</v>
      </c>
      <c r="G48" s="285">
        <f>'Salary Record'!C609</f>
        <v>0</v>
      </c>
      <c r="H48" s="116">
        <f>'Salary Record'!I607</f>
        <v>39</v>
      </c>
      <c r="I48" s="116">
        <f>'Salary Record'!I606</f>
        <v>31</v>
      </c>
      <c r="J48" s="281">
        <f>'Salary Record'!K607</f>
        <v>4245.9677419354839</v>
      </c>
      <c r="K48" s="281">
        <f>'Salary Record'!K608</f>
        <v>31245.967741935485</v>
      </c>
      <c r="L48" s="282" t="str">
        <f>'Salary Record'!G606</f>
        <v/>
      </c>
      <c r="M48" s="296">
        <f>'Salary Record'!G607</f>
        <v>0</v>
      </c>
      <c r="N48" s="297" t="str">
        <f>'Salary Record'!G608</f>
        <v/>
      </c>
      <c r="O48" s="296">
        <f>'Salary Record'!G609</f>
        <v>0</v>
      </c>
      <c r="P48" s="297" t="str">
        <f>'Salary Record'!G610</f>
        <v/>
      </c>
      <c r="Q48" s="380">
        <f>'Salary Record'!K610</f>
        <v>31245.967741935485</v>
      </c>
      <c r="R48" s="163"/>
      <c r="S48" s="163"/>
      <c r="T48" s="210"/>
      <c r="U48" s="210"/>
      <c r="V48" s="212"/>
      <c r="X48" s="210"/>
    </row>
    <row r="49" spans="1:25" s="211" customFormat="1" ht="21" customHeight="1" x14ac:dyDescent="0.2">
      <c r="A49" s="315">
        <v>3</v>
      </c>
      <c r="B49" s="413" t="str">
        <f>'Salary Record'!C619</f>
        <v>Adil (FTC)</v>
      </c>
      <c r="C49" s="246"/>
      <c r="D49" s="247"/>
      <c r="E49" s="116">
        <f>'Salary Record'!K618</f>
        <v>21000</v>
      </c>
      <c r="F49" s="116">
        <f>'Salary Record'!C624</f>
        <v>29</v>
      </c>
      <c r="G49" s="285">
        <f>'Salary Record'!C625</f>
        <v>2</v>
      </c>
      <c r="H49" s="116">
        <f>'Salary Record'!I623</f>
        <v>0</v>
      </c>
      <c r="I49" s="116">
        <f>'Salary Record'!I622</f>
        <v>35</v>
      </c>
      <c r="J49" s="281">
        <f>'Salary Record'!K623</f>
        <v>0</v>
      </c>
      <c r="K49" s="281">
        <f>'Salary Record'!K624</f>
        <v>23709.677419354837</v>
      </c>
      <c r="L49" s="282">
        <f>'Salary Record'!G622</f>
        <v>0</v>
      </c>
      <c r="M49" s="283">
        <f>'Salary Record'!G623</f>
        <v>0</v>
      </c>
      <c r="N49" s="284">
        <f>'Salary Record'!G624</f>
        <v>0</v>
      </c>
      <c r="O49" s="283">
        <f>'Salary Record'!G625</f>
        <v>0</v>
      </c>
      <c r="P49" s="284">
        <f>'Salary Record'!G626</f>
        <v>0</v>
      </c>
      <c r="Q49" s="287">
        <f>'Salary Record'!K626</f>
        <v>23709.677419354837</v>
      </c>
      <c r="R49" s="163"/>
      <c r="S49" s="163"/>
      <c r="T49" s="210" t="s">
        <v>181</v>
      </c>
      <c r="U49" s="210">
        <f>Q45-35000</f>
        <v>251356.45161290327</v>
      </c>
      <c r="V49" s="212"/>
    </row>
    <row r="50" spans="1:25" s="211" customFormat="1" ht="21" customHeight="1" x14ac:dyDescent="0.2">
      <c r="A50" s="315">
        <v>4</v>
      </c>
      <c r="B50" s="415" t="str">
        <f>'Salary Record'!C635</f>
        <v>Zafar</v>
      </c>
      <c r="C50" s="227"/>
      <c r="D50" s="228"/>
      <c r="E50" s="282">
        <f>'Salary Record'!K634</f>
        <v>28000</v>
      </c>
      <c r="F50" s="282">
        <f>'Salary Record'!C640</f>
        <v>31</v>
      </c>
      <c r="G50" s="288">
        <f>'Salary Record'!C641</f>
        <v>0</v>
      </c>
      <c r="H50" s="282">
        <f>'Salary Record'!I639</f>
        <v>0</v>
      </c>
      <c r="I50" s="282">
        <f>'Salary Record'!I638</f>
        <v>31</v>
      </c>
      <c r="J50" s="281">
        <f>'Salary Record'!K639</f>
        <v>0</v>
      </c>
      <c r="K50" s="116">
        <f>'Salary Record'!K640</f>
        <v>28000</v>
      </c>
      <c r="L50" s="282">
        <f>'Salary Record'!G638</f>
        <v>0</v>
      </c>
      <c r="M50" s="282">
        <f>'Salary Record'!G639</f>
        <v>0</v>
      </c>
      <c r="N50" s="284" t="str">
        <f>'Salary Record'!G640</f>
        <v/>
      </c>
      <c r="O50" s="282">
        <f>'Salary Record'!G641</f>
        <v>0</v>
      </c>
      <c r="P50" s="284" t="str">
        <f>'Salary Record'!G642</f>
        <v/>
      </c>
      <c r="Q50" s="287">
        <f>'Salary Record'!K642</f>
        <v>28000</v>
      </c>
      <c r="R50" s="163"/>
      <c r="S50" s="163"/>
      <c r="T50" s="210"/>
      <c r="U50" s="210">
        <f>Q32</f>
        <v>115409.27419354839</v>
      </c>
      <c r="V50" s="212" t="s">
        <v>261</v>
      </c>
    </row>
    <row r="51" spans="1:25" s="211" customFormat="1" ht="21" customHeight="1" x14ac:dyDescent="0.2">
      <c r="A51" s="314">
        <v>5</v>
      </c>
      <c r="B51" s="413" t="str">
        <f>'Salary Record'!C587</f>
        <v>M. Shafeeq</v>
      </c>
      <c r="C51" s="251"/>
      <c r="D51" s="235"/>
      <c r="E51" s="116">
        <f>'Salary Record'!K586</f>
        <v>19000</v>
      </c>
      <c r="F51" s="116">
        <f>'Salary Record'!C592</f>
        <v>31</v>
      </c>
      <c r="G51" s="285">
        <f>'Salary Record'!C593</f>
        <v>0</v>
      </c>
      <c r="H51" s="116">
        <f>'Salary Record'!I591</f>
        <v>15</v>
      </c>
      <c r="I51" s="116">
        <f>'Salary Record'!I590</f>
        <v>31</v>
      </c>
      <c r="J51" s="285">
        <f>'Salary Record'!K591</f>
        <v>1149.1935483870968</v>
      </c>
      <c r="K51" s="285">
        <f>'Salary Record'!K592</f>
        <v>20149.193548387098</v>
      </c>
      <c r="L51" s="305">
        <f>'Salary Record'!G590</f>
        <v>0</v>
      </c>
      <c r="M51" s="116">
        <f>'Salary Record'!G591</f>
        <v>0</v>
      </c>
      <c r="N51" s="300" t="str">
        <f>'Salary Record'!G592</f>
        <v/>
      </c>
      <c r="O51" s="116">
        <f>'Salary Record'!G593</f>
        <v>0</v>
      </c>
      <c r="P51" s="300" t="str">
        <f>'Salary Record'!G594</f>
        <v/>
      </c>
      <c r="Q51" s="287">
        <f>'Salary Record'!K594</f>
        <v>20149.193548387098</v>
      </c>
      <c r="R51" s="229">
        <f>Q51*75%</f>
        <v>15111.895161290324</v>
      </c>
      <c r="S51" s="163">
        <v>0</v>
      </c>
      <c r="T51" s="210" t="s">
        <v>209</v>
      </c>
      <c r="U51" s="421">
        <f>SUM(U49:U50)</f>
        <v>366765.72580645164</v>
      </c>
      <c r="V51" s="218" t="s">
        <v>262</v>
      </c>
    </row>
    <row r="52" spans="1:25" s="211" customFormat="1" ht="21" customHeight="1" x14ac:dyDescent="0.2">
      <c r="A52" s="315">
        <v>6</v>
      </c>
      <c r="B52" s="413" t="str">
        <f>'Salary Record'!C651</f>
        <v>Adeel</v>
      </c>
      <c r="C52" s="246"/>
      <c r="D52" s="247"/>
      <c r="E52" s="116">
        <f>'Salary Record'!K650</f>
        <v>22000</v>
      </c>
      <c r="F52" s="116">
        <f>'Salary Record'!C656</f>
        <v>30</v>
      </c>
      <c r="G52" s="285">
        <f>'Salary Record'!C657</f>
        <v>1</v>
      </c>
      <c r="H52" s="381">
        <f>'Salary Record'!I655</f>
        <v>150</v>
      </c>
      <c r="I52" s="116">
        <f>'Salary Record'!I654</f>
        <v>31</v>
      </c>
      <c r="J52" s="281">
        <f>'Salary Record'!K655</f>
        <v>13306.451612903225</v>
      </c>
      <c r="K52" s="281">
        <f>'Salary Record'!K656</f>
        <v>35306.451612903227</v>
      </c>
      <c r="L52" s="282">
        <f>'Salary Record'!G654</f>
        <v>0</v>
      </c>
      <c r="M52" s="283">
        <f>'Salary Record'!G655</f>
        <v>0</v>
      </c>
      <c r="N52" s="284">
        <f>'Salary Record'!G656</f>
        <v>0</v>
      </c>
      <c r="O52" s="283">
        <f>'Salary Record'!G657</f>
        <v>0</v>
      </c>
      <c r="P52" s="284">
        <f>'Salary Record'!G658</f>
        <v>0</v>
      </c>
      <c r="Q52" s="287">
        <f>'Salary Record'!K658</f>
        <v>35306.451612903227</v>
      </c>
      <c r="R52" s="163"/>
      <c r="S52" s="163"/>
      <c r="T52" s="210" t="s">
        <v>207</v>
      </c>
      <c r="V52" s="212">
        <f>188038-15552</f>
        <v>172486</v>
      </c>
    </row>
    <row r="53" spans="1:25" s="310" customFormat="1" ht="21" x14ac:dyDescent="0.3">
      <c r="A53" s="431" t="s">
        <v>2</v>
      </c>
      <c r="B53" s="432"/>
      <c r="C53" s="353"/>
      <c r="D53" s="353"/>
      <c r="E53" s="355">
        <f>SUM(E47:E52)</f>
        <v>137000</v>
      </c>
      <c r="F53" s="353"/>
      <c r="G53" s="353"/>
      <c r="H53" s="353"/>
      <c r="I53" s="353"/>
      <c r="J53" s="355">
        <f>SUM(J47:J52)</f>
        <v>19991.935483870966</v>
      </c>
      <c r="K53" s="353"/>
      <c r="L53" s="353"/>
      <c r="M53" s="353"/>
      <c r="N53" s="353"/>
      <c r="O53" s="353"/>
      <c r="P53" s="353"/>
      <c r="Q53" s="308">
        <f>SUM(Q47:Q52)</f>
        <v>157701.61290322582</v>
      </c>
      <c r="R53" s="347">
        <f>SUM(R49:R52)</f>
        <v>15111.895161290324</v>
      </c>
      <c r="S53" s="347">
        <f>SUM(S49:S52)</f>
        <v>0</v>
      </c>
      <c r="T53" s="309">
        <f>Q53-Q47</f>
        <v>138411.29032258067</v>
      </c>
      <c r="V53" s="311">
        <f>V52-Q53</f>
        <v>14784.387096774182</v>
      </c>
    </row>
    <row r="54" spans="1:25" s="310" customFormat="1" ht="21" x14ac:dyDescent="0.3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50"/>
      <c r="R54" s="351"/>
      <c r="S54" s="351"/>
      <c r="T54" s="351">
        <f>Q53+Q32</f>
        <v>273110.88709677418</v>
      </c>
      <c r="V54" s="352"/>
    </row>
    <row r="55" spans="1:25" s="259" customFormat="1" ht="21" customHeight="1" x14ac:dyDescent="0.2">
      <c r="A55" s="425" t="s">
        <v>104</v>
      </c>
      <c r="B55" s="426"/>
      <c r="C55" s="426"/>
      <c r="D55" s="426"/>
      <c r="E55" s="426"/>
      <c r="F55" s="426"/>
      <c r="G55" s="426"/>
      <c r="H55" s="426"/>
      <c r="I55" s="426"/>
      <c r="J55" s="426"/>
      <c r="K55" s="426"/>
      <c r="L55" s="426"/>
      <c r="M55" s="426"/>
      <c r="N55" s="426"/>
      <c r="O55" s="426"/>
      <c r="P55" s="426"/>
      <c r="Q55" s="427"/>
      <c r="R55" s="257"/>
      <c r="S55" s="257"/>
      <c r="T55" s="271"/>
      <c r="U55" s="265"/>
      <c r="V55" s="260"/>
      <c r="Y55" s="265"/>
    </row>
    <row r="56" spans="1:25" s="211" customFormat="1" ht="21" customHeight="1" x14ac:dyDescent="0.2">
      <c r="A56" s="315">
        <v>1</v>
      </c>
      <c r="B56" s="414" t="str">
        <f>'Salary Record'!C521</f>
        <v>Mukhtiar</v>
      </c>
      <c r="C56" s="230"/>
      <c r="D56" s="231"/>
      <c r="E56" s="307">
        <f>'Salary Record'!K520</f>
        <v>1200</v>
      </c>
      <c r="F56" s="307">
        <f>'Salary Record'!C526</f>
        <v>0</v>
      </c>
      <c r="G56" s="285">
        <f>'Salary Record'!C527</f>
        <v>0</v>
      </c>
      <c r="H56" s="307">
        <f>'Salary Record'!I525</f>
        <v>52</v>
      </c>
      <c r="I56" s="307">
        <f>'Salary Record'!I524</f>
        <v>27</v>
      </c>
      <c r="J56" s="281">
        <f>'Salary Record'!K525</f>
        <v>7800</v>
      </c>
      <c r="K56" s="281">
        <f>'Salary Record'!K526</f>
        <v>40200</v>
      </c>
      <c r="L56" s="282">
        <f>'Salary Record'!G524</f>
        <v>29500</v>
      </c>
      <c r="M56" s="283">
        <f>'Salary Record'!G525</f>
        <v>0</v>
      </c>
      <c r="N56" s="284">
        <f>'Salary Record'!G526</f>
        <v>29500</v>
      </c>
      <c r="O56" s="283">
        <f>'Salary Record'!G527</f>
        <v>5000</v>
      </c>
      <c r="P56" s="284">
        <f>'Salary Record'!G528</f>
        <v>24500</v>
      </c>
      <c r="Q56" s="287">
        <f>'Salary Record'!K528</f>
        <v>35200</v>
      </c>
      <c r="R56" s="163"/>
      <c r="S56" s="163"/>
      <c r="T56" s="210" t="s">
        <v>191</v>
      </c>
      <c r="U56" s="211" t="s">
        <v>192</v>
      </c>
      <c r="V56" s="212"/>
    </row>
    <row r="57" spans="1:25" ht="18" x14ac:dyDescent="0.25">
      <c r="A57" s="315">
        <v>2</v>
      </c>
      <c r="B57" s="414" t="str">
        <f>'Salary Record'!C731</f>
        <v>Asif Hussain</v>
      </c>
      <c r="C57" s="106"/>
      <c r="D57" s="94"/>
      <c r="E57" s="22">
        <f>'Salary Record'!K730</f>
        <v>22000</v>
      </c>
      <c r="F57" s="307">
        <f>'Salary Record'!C736</f>
        <v>30</v>
      </c>
      <c r="G57" s="285">
        <f>'Salary Record'!C737</f>
        <v>1</v>
      </c>
      <c r="H57" s="307">
        <f>'Salary Record'!I735</f>
        <v>49</v>
      </c>
      <c r="I57" s="307">
        <f>'Salary Record'!I734</f>
        <v>30</v>
      </c>
      <c r="J57" s="16">
        <f>'Salary Record'!K735</f>
        <v>4346.7741935483864</v>
      </c>
      <c r="K57" s="16">
        <f>'Salary Record'!K736</f>
        <v>25637.096774193546</v>
      </c>
      <c r="L57" s="9">
        <f>'Salary Record'!G734</f>
        <v>6760</v>
      </c>
      <c r="M57" s="17">
        <f>'Salary Record'!G735</f>
        <v>0</v>
      </c>
      <c r="N57" s="18">
        <f>'Salary Record'!G736</f>
        <v>6760</v>
      </c>
      <c r="O57" s="17">
        <f>'Salary Record'!G737</f>
        <v>2000</v>
      </c>
      <c r="P57" s="18">
        <f>'Salary Record'!G738</f>
        <v>4760</v>
      </c>
      <c r="Q57" s="163">
        <f>'Salary Record'!K738</f>
        <v>23637.096774193546</v>
      </c>
      <c r="R57" s="170"/>
      <c r="S57" s="23"/>
      <c r="T57" s="147"/>
      <c r="U57" s="154"/>
    </row>
    <row r="58" spans="1:25" ht="15.75" x14ac:dyDescent="0.25">
      <c r="A58" s="317">
        <v>3</v>
      </c>
      <c r="B58" s="414" t="str">
        <f>'Salary Record'!C537</f>
        <v xml:space="preserve">M. Imran </v>
      </c>
      <c r="C58" s="103"/>
      <c r="D58" s="96"/>
      <c r="E58" s="416">
        <f>'Salary Record'!K536</f>
        <v>45000</v>
      </c>
      <c r="F58" s="307">
        <f>'Salary Record'!C542</f>
        <v>30</v>
      </c>
      <c r="G58" s="285">
        <f>'Salary Record'!C543</f>
        <v>1</v>
      </c>
      <c r="H58" s="307">
        <f>'Salary Record'!I541</f>
        <v>37</v>
      </c>
      <c r="I58" s="307">
        <f>'Salary Record'!I540</f>
        <v>30</v>
      </c>
      <c r="J58" s="20">
        <f>'Salary Record'!K541</f>
        <v>6713.7096774193542</v>
      </c>
      <c r="K58" s="10">
        <f>'Salary Record'!K542</f>
        <v>50262.096774193546</v>
      </c>
      <c r="L58" s="132">
        <f>'Salary Record'!G540</f>
        <v>22000</v>
      </c>
      <c r="M58" s="10">
        <f>'Salary Record'!G541</f>
        <v>2000</v>
      </c>
      <c r="N58" s="92">
        <f>'Salary Record'!G542</f>
        <v>24000</v>
      </c>
      <c r="O58" s="10">
        <f>'Salary Record'!G543</f>
        <v>5000</v>
      </c>
      <c r="P58" s="92">
        <f>'Salary Record'!G544</f>
        <v>19000</v>
      </c>
      <c r="Q58" s="23">
        <f>'Salary Record'!K544</f>
        <v>45262.096774193546</v>
      </c>
      <c r="R58" s="169"/>
      <c r="S58" s="23"/>
      <c r="T58" s="147"/>
      <c r="U58" s="8"/>
      <c r="V58" s="133"/>
    </row>
    <row r="59" spans="1:25" s="211" customFormat="1" ht="21" customHeight="1" x14ac:dyDescent="0.2">
      <c r="A59" s="315">
        <v>4</v>
      </c>
      <c r="B59" s="415" t="str">
        <f>'Salary Record'!C474</f>
        <v>Hammad Ahmed</v>
      </c>
      <c r="C59" s="227"/>
      <c r="D59" s="228"/>
      <c r="E59" s="282">
        <f>'Salary Record'!K473</f>
        <v>23000</v>
      </c>
      <c r="F59" s="307">
        <f>'Salary Record'!C479</f>
        <v>30</v>
      </c>
      <c r="G59" s="285">
        <f>'Salary Record'!C480</f>
        <v>1</v>
      </c>
      <c r="H59" s="307">
        <f>'Salary Record'!I478</f>
        <v>49</v>
      </c>
      <c r="I59" s="307">
        <f>'Salary Record'!I477</f>
        <v>30</v>
      </c>
      <c r="J59" s="281">
        <f>'Salary Record'!K478</f>
        <v>4544.3548387096771</v>
      </c>
      <c r="K59" s="116">
        <f>'Salary Record'!K479</f>
        <v>26802.419354838708</v>
      </c>
      <c r="L59" s="282" t="str">
        <f>'Salary Record'!G477</f>
        <v/>
      </c>
      <c r="M59" s="282">
        <f>'Salary Record'!G478</f>
        <v>0</v>
      </c>
      <c r="N59" s="284" t="str">
        <f>'Salary Record'!G479</f>
        <v/>
      </c>
      <c r="O59" s="282">
        <f>'Salary Record'!G480</f>
        <v>0</v>
      </c>
      <c r="P59" s="284" t="str">
        <f>'Salary Record'!G481</f>
        <v/>
      </c>
      <c r="Q59" s="287">
        <f>'Salary Record'!K481</f>
        <v>26802.419354838708</v>
      </c>
      <c r="R59" s="163"/>
      <c r="S59" s="163"/>
      <c r="T59" s="210" t="s">
        <v>211</v>
      </c>
      <c r="V59" s="212"/>
    </row>
    <row r="60" spans="1:25" s="310" customFormat="1" ht="21" x14ac:dyDescent="0.3">
      <c r="A60" s="431" t="s">
        <v>2</v>
      </c>
      <c r="B60" s="432"/>
      <c r="C60" s="353"/>
      <c r="D60" s="353"/>
      <c r="E60" s="355">
        <f>SUM(E56:E59)</f>
        <v>91200</v>
      </c>
      <c r="F60" s="353"/>
      <c r="G60" s="353"/>
      <c r="H60" s="353"/>
      <c r="I60" s="353"/>
      <c r="J60" s="355">
        <f ca="1">SUM(J56:J87)</f>
        <v>15604.838709677417</v>
      </c>
      <c r="K60" s="353"/>
      <c r="L60" s="353"/>
      <c r="M60" s="353"/>
      <c r="N60" s="353"/>
      <c r="O60" s="353"/>
      <c r="P60" s="353"/>
      <c r="Q60" s="355">
        <f>SUM(Q56:Q59)</f>
        <v>130901.6129032258</v>
      </c>
      <c r="R60" s="347">
        <f ca="1">SUM(R56:R88)</f>
        <v>0</v>
      </c>
      <c r="S60" s="347">
        <f ca="1">SUM(S56:S88)</f>
        <v>22000</v>
      </c>
      <c r="T60" s="309"/>
      <c r="V60" s="311"/>
    </row>
    <row r="61" spans="1:25" s="310" customFormat="1" ht="21" x14ac:dyDescent="0.3">
      <c r="A61" s="349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50"/>
      <c r="R61" s="351"/>
      <c r="S61" s="351"/>
      <c r="T61" s="351">
        <f>Q87+Q58+Q56</f>
        <v>80462.096774193546</v>
      </c>
      <c r="V61" s="352"/>
    </row>
    <row r="62" spans="1:25" s="263" customFormat="1" ht="21" customHeight="1" x14ac:dyDescent="0.2">
      <c r="A62" s="428" t="s">
        <v>251</v>
      </c>
      <c r="B62" s="429"/>
      <c r="C62" s="429"/>
      <c r="D62" s="429"/>
      <c r="E62" s="429"/>
      <c r="F62" s="429"/>
      <c r="G62" s="429"/>
      <c r="H62" s="429"/>
      <c r="I62" s="429"/>
      <c r="J62" s="429"/>
      <c r="K62" s="429"/>
      <c r="L62" s="429"/>
      <c r="M62" s="429"/>
      <c r="N62" s="429"/>
      <c r="O62" s="429"/>
      <c r="P62" s="429"/>
      <c r="Q62" s="430"/>
      <c r="R62" s="261"/>
      <c r="S62" s="261"/>
      <c r="T62" s="262"/>
      <c r="U62" s="327"/>
      <c r="V62" s="264"/>
      <c r="W62" s="327"/>
    </row>
    <row r="63" spans="1:25" s="211" customFormat="1" ht="21" customHeight="1" x14ac:dyDescent="0.2">
      <c r="A63" s="314">
        <v>1</v>
      </c>
      <c r="B63" s="417" t="s">
        <v>17</v>
      </c>
      <c r="C63" s="254"/>
      <c r="D63" s="255"/>
      <c r="E63" s="272">
        <f>'Salary Record'!K457</f>
        <v>45000</v>
      </c>
      <c r="F63" s="272">
        <f>'Salary Record'!C463</f>
        <v>28</v>
      </c>
      <c r="G63" s="273">
        <f>'Salary Record'!C464</f>
        <v>3</v>
      </c>
      <c r="H63" s="272">
        <f>'Salary Record'!I462</f>
        <v>78</v>
      </c>
      <c r="I63" s="272">
        <f>'Salary Record'!I461</f>
        <v>31</v>
      </c>
      <c r="J63" s="274">
        <f>'Salary Record'!K462</f>
        <v>14153.225806451612</v>
      </c>
      <c r="K63" s="274">
        <f>'Salary Record'!K463</f>
        <v>59153.225806451614</v>
      </c>
      <c r="L63" s="275">
        <f>'Salary Record'!G461</f>
        <v>10000</v>
      </c>
      <c r="M63" s="276">
        <f>'Salary Record'!G462</f>
        <v>0</v>
      </c>
      <c r="N63" s="277">
        <f>'Salary Record'!G463</f>
        <v>10000</v>
      </c>
      <c r="O63" s="276">
        <f>'Salary Record'!G464</f>
        <v>0</v>
      </c>
      <c r="P63" s="277">
        <f>'Salary Record'!G465</f>
        <v>10000</v>
      </c>
      <c r="Q63" s="341">
        <f>'Salary Record'!K465</f>
        <v>59153.225806451614</v>
      </c>
      <c r="R63" s="224"/>
      <c r="S63" s="163"/>
      <c r="T63" s="210"/>
      <c r="U63" s="210"/>
      <c r="V63" s="212"/>
    </row>
    <row r="64" spans="1:25" s="211" customFormat="1" ht="21" customHeight="1" x14ac:dyDescent="0.2">
      <c r="A64" s="315">
        <v>2</v>
      </c>
      <c r="B64" s="414" t="str">
        <f>'Salary Record'!C1197</f>
        <v>Mubeen</v>
      </c>
      <c r="C64" s="214"/>
      <c r="D64" s="215"/>
      <c r="E64" s="283">
        <f>'Salary Record'!K1196</f>
        <v>65000</v>
      </c>
      <c r="F64" s="283">
        <f>'Salary Record'!C1202</f>
        <v>30</v>
      </c>
      <c r="G64" s="280">
        <f>'Salary Record'!C1203</f>
        <v>1</v>
      </c>
      <c r="H64" s="283">
        <f>'Salary Record'!I1201</f>
        <v>0</v>
      </c>
      <c r="I64" s="283">
        <f>'Salary Record'!I1200</f>
        <v>30</v>
      </c>
      <c r="J64" s="281">
        <f>'Salary Record'!K1201</f>
        <v>0</v>
      </c>
      <c r="K64" s="281">
        <f>'Salary Record'!K1202</f>
        <v>62903.225806451621</v>
      </c>
      <c r="L64" s="282">
        <f>'Salary Record'!G1200</f>
        <v>0</v>
      </c>
      <c r="M64" s="283">
        <f>'Salary Record'!G1201</f>
        <v>20000</v>
      </c>
      <c r="N64" s="284">
        <f>'Salary Record'!G1202</f>
        <v>20000</v>
      </c>
      <c r="O64" s="283">
        <f>'Salary Record'!G1203</f>
        <v>20000</v>
      </c>
      <c r="P64" s="284">
        <f>'Salary Record'!G1204</f>
        <v>0</v>
      </c>
      <c r="Q64" s="289">
        <f>'Salary Record'!K1204</f>
        <v>42903.225806451621</v>
      </c>
      <c r="R64" s="163"/>
      <c r="S64" s="163"/>
      <c r="T64" s="210"/>
      <c r="U64" s="210"/>
      <c r="V64" s="212">
        <v>500000</v>
      </c>
    </row>
    <row r="65" spans="1:24" s="211" customFormat="1" ht="21" customHeight="1" x14ac:dyDescent="0.2">
      <c r="A65" s="314">
        <v>3</v>
      </c>
      <c r="B65" s="278" t="str">
        <f>'Salary Record'!C1101</f>
        <v>A. Lateef</v>
      </c>
      <c r="C65" s="237"/>
      <c r="D65" s="238"/>
      <c r="E65" s="116">
        <f>'Salary Record'!K1100</f>
        <v>25000</v>
      </c>
      <c r="F65" s="116">
        <f>'Salary Record'!C1106</f>
        <v>0</v>
      </c>
      <c r="G65" s="285">
        <f>'Salary Record'!C1107</f>
        <v>0</v>
      </c>
      <c r="H65" s="116">
        <f>'Salary Record'!I1105</f>
        <v>2</v>
      </c>
      <c r="I65" s="116">
        <f>'Salary Record'!I1104</f>
        <v>31</v>
      </c>
      <c r="J65" s="281">
        <f>'Salary Record'!K1105</f>
        <v>201.61290322580646</v>
      </c>
      <c r="K65" s="116">
        <f>'Salary Record'!K1106</f>
        <v>25201.612903225807</v>
      </c>
      <c r="L65" s="282">
        <f>'Salary Record'!G1104</f>
        <v>0</v>
      </c>
      <c r="M65" s="283">
        <f>'Salary Record'!G1105</f>
        <v>0</v>
      </c>
      <c r="N65" s="284">
        <f>'Salary Record'!G1106</f>
        <v>0</v>
      </c>
      <c r="O65" s="283">
        <f>'Salary Record'!G1107</f>
        <v>0</v>
      </c>
      <c r="P65" s="284">
        <f>'Salary Record'!G1108</f>
        <v>0</v>
      </c>
      <c r="Q65" s="287">
        <f>'Salary Record'!K1108</f>
        <v>0</v>
      </c>
      <c r="R65" s="163"/>
      <c r="S65" s="163"/>
      <c r="T65" s="210" t="s">
        <v>179</v>
      </c>
      <c r="V65" s="212">
        <v>21500</v>
      </c>
      <c r="X65" s="210">
        <f>V64-V63-V40-V23-V114-V96-V65-3000</f>
        <v>462500</v>
      </c>
    </row>
    <row r="66" spans="1:24" s="211" customFormat="1" ht="21" customHeight="1" x14ac:dyDescent="0.2">
      <c r="A66" s="315">
        <v>4</v>
      </c>
      <c r="B66" s="417" t="str">
        <f>'Salary Record'!C699</f>
        <v>A. Lateef Chacha</v>
      </c>
      <c r="C66" s="230"/>
      <c r="D66" s="231"/>
      <c r="E66" s="116">
        <f>'Salary Record'!K698</f>
        <v>25000</v>
      </c>
      <c r="F66" s="116">
        <f>'Salary Record'!C704</f>
        <v>29</v>
      </c>
      <c r="G66" s="285">
        <f>'Salary Record'!C705</f>
        <v>2</v>
      </c>
      <c r="H66" s="116">
        <f>'Salary Record'!I703</f>
        <v>71</v>
      </c>
      <c r="I66" s="116">
        <f>'Salary Record'!I702</f>
        <v>31</v>
      </c>
      <c r="J66" s="281">
        <f>'Salary Record'!K703</f>
        <v>7157.2580645161297</v>
      </c>
      <c r="K66" s="281">
        <f>'Salary Record'!K704</f>
        <v>32157.258064516129</v>
      </c>
      <c r="L66" s="282">
        <f>'Salary Record'!G702</f>
        <v>2500</v>
      </c>
      <c r="M66" s="282">
        <f>'Salary Record'!G703</f>
        <v>1500</v>
      </c>
      <c r="N66" s="284">
        <f>'Salary Record'!G704</f>
        <v>4000</v>
      </c>
      <c r="O66" s="282">
        <f>'Salary Record'!G705</f>
        <v>1000</v>
      </c>
      <c r="P66" s="284">
        <f>'Salary Record'!G706</f>
        <v>3000</v>
      </c>
      <c r="Q66" s="287">
        <f>'Salary Record'!K706</f>
        <v>31157.258064516129</v>
      </c>
      <c r="R66" s="163"/>
      <c r="S66" s="163"/>
      <c r="T66" s="210"/>
      <c r="U66" s="210"/>
      <c r="V66" s="212">
        <f>Q63+Q60+Q19+Q25+Q32</f>
        <v>538984.27419354836</v>
      </c>
      <c r="X66" s="211">
        <v>800</v>
      </c>
    </row>
    <row r="67" spans="1:24" s="211" customFormat="1" ht="21" customHeight="1" x14ac:dyDescent="0.2">
      <c r="A67" s="314">
        <v>5</v>
      </c>
      <c r="B67" s="413" t="s">
        <v>33</v>
      </c>
      <c r="C67" s="246"/>
      <c r="D67" s="247"/>
      <c r="E67" s="279">
        <f>'Salary Record'!K346</f>
        <v>27000</v>
      </c>
      <c r="F67" s="279">
        <f>'Salary Record'!C352</f>
        <v>26</v>
      </c>
      <c r="G67" s="280">
        <f>'Salary Record'!C353</f>
        <v>5</v>
      </c>
      <c r="H67" s="279">
        <f>'Salary Record'!I351</f>
        <v>8</v>
      </c>
      <c r="I67" s="279">
        <f>'Salary Record'!I350</f>
        <v>26</v>
      </c>
      <c r="J67" s="281">
        <f>'Salary Record'!K351</f>
        <v>870.9677419354839</v>
      </c>
      <c r="K67" s="116">
        <f>'Salary Record'!K352</f>
        <v>23516.129032258068</v>
      </c>
      <c r="L67" s="282">
        <f>'Salary Record'!G350</f>
        <v>71500</v>
      </c>
      <c r="M67" s="283">
        <f>'Salary Record'!G351</f>
        <v>0</v>
      </c>
      <c r="N67" s="284">
        <f>'Salary Record'!G352</f>
        <v>71500</v>
      </c>
      <c r="O67" s="283">
        <f>'Salary Record'!G353</f>
        <v>3000</v>
      </c>
      <c r="P67" s="284">
        <f>'Salary Record'!G354</f>
        <v>68500</v>
      </c>
      <c r="Q67" s="287">
        <f>'Salary Record'!K354</f>
        <v>20516.129032258068</v>
      </c>
      <c r="R67" s="163"/>
      <c r="S67" s="163"/>
      <c r="T67" s="210" t="s">
        <v>194</v>
      </c>
      <c r="U67" s="210" t="s">
        <v>195</v>
      </c>
      <c r="V67" s="212" t="s">
        <v>164</v>
      </c>
    </row>
    <row r="68" spans="1:24" ht="15.75" x14ac:dyDescent="0.25">
      <c r="A68" s="315">
        <v>6</v>
      </c>
      <c r="B68" s="413" t="str">
        <f>'Salary Record'!C1245</f>
        <v>Sheheryar Khalid</v>
      </c>
      <c r="C68" s="118"/>
      <c r="D68" s="119"/>
      <c r="E68" s="9">
        <f>'Salary Record'!K1244</f>
        <v>30000</v>
      </c>
      <c r="F68" s="9">
        <f>'Salary Record'!C1250</f>
        <v>0</v>
      </c>
      <c r="G68" s="21">
        <f>'Salary Record'!C1251</f>
        <v>0</v>
      </c>
      <c r="H68" s="9">
        <f>'Salary Record'!I1249</f>
        <v>63</v>
      </c>
      <c r="I68" s="9">
        <f>'Salary Record'!I1248</f>
        <v>18</v>
      </c>
      <c r="J68" s="16">
        <f>'Salary Record'!K1249</f>
        <v>7620.9677419354839</v>
      </c>
      <c r="K68" s="16">
        <f>'Salary Record'!K1250</f>
        <v>25040.322580645163</v>
      </c>
      <c r="L68" s="9">
        <f>'Salary Record'!G1248</f>
        <v>0</v>
      </c>
      <c r="M68" s="9">
        <f>'Salary Record'!G1249</f>
        <v>30000</v>
      </c>
      <c r="N68" s="18">
        <f>'Salary Record'!G1250</f>
        <v>30000</v>
      </c>
      <c r="O68" s="9">
        <f>'Salary Record'!G1251</f>
        <v>5000</v>
      </c>
      <c r="P68" s="18">
        <f>'Salary Record'!G1252</f>
        <v>25000</v>
      </c>
      <c r="Q68" s="23">
        <f>'Salary Record'!K1252</f>
        <v>20040.322580645163</v>
      </c>
      <c r="R68" s="170">
        <f>Q68*75%</f>
        <v>15030.241935483871</v>
      </c>
      <c r="S68" s="23">
        <v>0</v>
      </c>
      <c r="T68" s="147"/>
    </row>
    <row r="69" spans="1:24" s="211" customFormat="1" ht="21" customHeight="1" x14ac:dyDescent="0.2">
      <c r="A69" s="314">
        <v>7</v>
      </c>
      <c r="B69" s="413" t="s">
        <v>9</v>
      </c>
      <c r="C69" s="236"/>
      <c r="D69" s="233"/>
      <c r="E69" s="285">
        <f>'Salary Record'!K266</f>
        <v>30000</v>
      </c>
      <c r="F69" s="285">
        <f>'Salary Record'!C272</f>
        <v>30</v>
      </c>
      <c r="G69" s="285">
        <f>'Salary Record'!C273</f>
        <v>1</v>
      </c>
      <c r="H69" s="285">
        <f>'Salary Record'!I271</f>
        <v>59</v>
      </c>
      <c r="I69" s="285">
        <f>'Salary Record'!I270</f>
        <v>31</v>
      </c>
      <c r="J69" s="281">
        <f>'Salary Record'!K271</f>
        <v>7137.0967741935483</v>
      </c>
      <c r="K69" s="281">
        <f>'Salary Record'!K272</f>
        <v>37137.096774193546</v>
      </c>
      <c r="L69" s="282">
        <f>'Salary Record'!G270</f>
        <v>44500</v>
      </c>
      <c r="M69" s="283">
        <f>'Salary Record'!G271</f>
        <v>32800</v>
      </c>
      <c r="N69" s="284">
        <f>'Salary Record'!G272</f>
        <v>77300</v>
      </c>
      <c r="O69" s="283">
        <f>'Salary Record'!G273</f>
        <v>7000</v>
      </c>
      <c r="P69" s="284">
        <f>'Salary Record'!G274</f>
        <v>70300</v>
      </c>
      <c r="Q69" s="287">
        <f>'Salary Record'!K274</f>
        <v>30137.096774193546</v>
      </c>
      <c r="R69" s="163"/>
      <c r="S69" s="163"/>
      <c r="T69" s="210" t="s">
        <v>175</v>
      </c>
      <c r="U69" s="210" t="s">
        <v>176</v>
      </c>
      <c r="V69" s="212" t="s">
        <v>168</v>
      </c>
    </row>
    <row r="70" spans="1:24" s="310" customFormat="1" ht="21" x14ac:dyDescent="0.3">
      <c r="A70" s="431" t="s">
        <v>2</v>
      </c>
      <c r="B70" s="432"/>
      <c r="C70" s="353"/>
      <c r="D70" s="353"/>
      <c r="E70" s="358">
        <f>SUM(E63:E69)</f>
        <v>247000</v>
      </c>
      <c r="F70" s="353"/>
      <c r="G70" s="353"/>
      <c r="H70" s="353"/>
      <c r="I70" s="353"/>
      <c r="J70" s="358">
        <f>SUM(J63:J69)</f>
        <v>37141.129032258068</v>
      </c>
      <c r="K70" s="353"/>
      <c r="L70" s="353"/>
      <c r="M70" s="353"/>
      <c r="N70" s="353"/>
      <c r="O70" s="353"/>
      <c r="P70" s="353"/>
      <c r="Q70" s="308">
        <f>SUM(Q63:Q69)</f>
        <v>203907.25806451612</v>
      </c>
      <c r="R70" s="347" t="e">
        <f ca="1">SUM(R66:R114)</f>
        <v>#REF!</v>
      </c>
      <c r="S70" s="347" t="e">
        <f ca="1">SUM(S66:S114)</f>
        <v>#REF!</v>
      </c>
      <c r="T70" s="309"/>
      <c r="V70" s="311"/>
    </row>
    <row r="71" spans="1:24" s="310" customFormat="1" ht="21" x14ac:dyDescent="0.3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50"/>
      <c r="R71" s="351"/>
      <c r="S71" s="351"/>
      <c r="T71" s="351"/>
      <c r="V71" s="352"/>
    </row>
    <row r="72" spans="1:24" s="259" customFormat="1" ht="21" customHeight="1" x14ac:dyDescent="0.2">
      <c r="A72" s="425" t="s">
        <v>250</v>
      </c>
      <c r="B72" s="426"/>
      <c r="C72" s="426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7"/>
      <c r="R72" s="257"/>
      <c r="S72" s="257"/>
      <c r="T72" s="271">
        <f>Q69+Q66</f>
        <v>61294.354838709674</v>
      </c>
      <c r="U72" s="265">
        <f>Q69+Q66</f>
        <v>61294.354838709674</v>
      </c>
      <c r="V72" s="260" t="e">
        <f>Q67+#REF!+Q66+Q65+Q96+Q101+Q63+Q60+Q53+Q15+Q14+Q69</f>
        <v>#REF!</v>
      </c>
      <c r="X72" s="259">
        <v>250000</v>
      </c>
    </row>
    <row r="73" spans="1:24" s="211" customFormat="1" ht="21" customHeight="1" x14ac:dyDescent="0.3">
      <c r="A73" s="315">
        <v>1</v>
      </c>
      <c r="B73" s="413" t="str">
        <f>'Salary Record'!C170</f>
        <v>Zeeshan AC</v>
      </c>
      <c r="C73" s="214"/>
      <c r="D73" s="215"/>
      <c r="E73" s="116">
        <f>'Salary Record'!K169</f>
        <v>28000</v>
      </c>
      <c r="F73" s="116">
        <f>'Salary Record'!C175</f>
        <v>31</v>
      </c>
      <c r="G73" s="285">
        <f>'Salary Record'!C176</f>
        <v>0</v>
      </c>
      <c r="H73" s="116">
        <f>'Salary Record'!I174</f>
        <v>0</v>
      </c>
      <c r="I73" s="116">
        <f>'Salary Record'!I173</f>
        <v>31</v>
      </c>
      <c r="J73" s="281">
        <f>'Salary Record'!K174</f>
        <v>0</v>
      </c>
      <c r="K73" s="116">
        <f>'Salary Record'!K175</f>
        <v>28000</v>
      </c>
      <c r="L73" s="282">
        <f>'Salary Record'!G173</f>
        <v>0</v>
      </c>
      <c r="M73" s="282">
        <f>'Salary Record'!G174</f>
        <v>0</v>
      </c>
      <c r="N73" s="282">
        <f>'Salary Record'!G175</f>
        <v>0</v>
      </c>
      <c r="O73" s="282">
        <f>'Salary Record'!G176</f>
        <v>0</v>
      </c>
      <c r="P73" s="282">
        <f>'Salary Record'!G177</f>
        <v>0</v>
      </c>
      <c r="Q73" s="287">
        <f>'Salary Record'!K177</f>
        <v>28000</v>
      </c>
      <c r="R73" s="163"/>
      <c r="S73" s="163"/>
      <c r="T73" s="210"/>
      <c r="U73" s="210"/>
      <c r="V73" s="311">
        <f>Q43+Q73+Q39+Q85+Q45</f>
        <v>368324.19354838715</v>
      </c>
      <c r="X73" s="211">
        <v>1900</v>
      </c>
    </row>
    <row r="74" spans="1:24" s="310" customFormat="1" ht="21" x14ac:dyDescent="0.3">
      <c r="A74" s="431" t="s">
        <v>2</v>
      </c>
      <c r="B74" s="432"/>
      <c r="C74" s="353"/>
      <c r="D74" s="353"/>
      <c r="E74" s="355">
        <f>SUM(E73:E73)</f>
        <v>28000</v>
      </c>
      <c r="F74" s="353"/>
      <c r="G74" s="353"/>
      <c r="H74" s="353"/>
      <c r="I74" s="353"/>
      <c r="J74" s="355">
        <f>SUM(J73:J73)</f>
        <v>0</v>
      </c>
      <c r="K74" s="353"/>
      <c r="L74" s="353"/>
      <c r="M74" s="353"/>
      <c r="N74" s="353"/>
      <c r="O74" s="353"/>
      <c r="P74" s="353"/>
      <c r="Q74" s="308">
        <f>SUM(Q73:Q73)</f>
        <v>28000</v>
      </c>
      <c r="R74" s="347">
        <f>SUM(R73:R73)</f>
        <v>0</v>
      </c>
      <c r="S74" s="347">
        <f>SUM(S73:S73)</f>
        <v>0</v>
      </c>
      <c r="T74" s="309">
        <f>Q66+Q69</f>
        <v>61294.354838709674</v>
      </c>
      <c r="V74" s="311"/>
    </row>
    <row r="75" spans="1:24" ht="21" customHeight="1" x14ac:dyDescent="0.2">
      <c r="A75" s="444" t="s">
        <v>129</v>
      </c>
      <c r="B75" s="445"/>
      <c r="C75" s="345"/>
      <c r="D75" s="345"/>
      <c r="E75" s="360">
        <f>SUM(E4+E5+E74+E60+E53+E45+E32+E25+E19+E11+E70)</f>
        <v>1238700</v>
      </c>
      <c r="F75" s="345"/>
      <c r="G75" s="345"/>
      <c r="H75" s="345"/>
      <c r="I75" s="345"/>
      <c r="J75" s="359">
        <f ca="1">SUM(J4+J5+J74+J60+J53+J45+J32+J25+J19+J11+J70)</f>
        <v>140606.24999999997</v>
      </c>
      <c r="K75" s="346"/>
      <c r="L75" s="313">
        <f>SUM(L4:L74)</f>
        <v>538360</v>
      </c>
      <c r="M75" s="356">
        <f>SUM(M4:M74)</f>
        <v>138900</v>
      </c>
      <c r="N75" s="313">
        <f>SUM(N4:N74)</f>
        <v>677260</v>
      </c>
      <c r="O75" s="313">
        <f>SUM(O4:O74)</f>
        <v>118950</v>
      </c>
      <c r="P75" s="313">
        <f>SUM(P4:P74)</f>
        <v>558310</v>
      </c>
      <c r="Q75" s="312">
        <f>SUM(Q4+Q5+Q74+Q60+Q53+Q45+Q32+Q25+Q19+Q11+Q70)</f>
        <v>1155796.3709677421</v>
      </c>
      <c r="R75" s="102" t="e">
        <f ca="1">SUM(R4+R5+R74+#REF!+R60+R53+#REF!+R45+R32+R25+R19+R11)</f>
        <v>#REF!</v>
      </c>
      <c r="S75" s="102" t="e">
        <f ca="1">SUM(S4+S5+S74+#REF!+S60+S53+#REF!+S45+S32+S25+S19+S11)</f>
        <v>#REF!</v>
      </c>
      <c r="T75" s="149">
        <f>Q39+Q65+Q67+Q45</f>
        <v>341429.03225806454</v>
      </c>
      <c r="U75" s="8"/>
      <c r="W75" s="8"/>
    </row>
    <row r="76" spans="1:24" ht="20.45" customHeight="1" x14ac:dyDescent="0.2">
      <c r="A76" s="446"/>
      <c r="B76" s="447"/>
      <c r="C76" s="447"/>
      <c r="D76" s="447"/>
      <c r="E76" s="447"/>
      <c r="F76" s="447"/>
      <c r="G76" s="447"/>
      <c r="H76" s="447"/>
      <c r="I76" s="447"/>
      <c r="J76" s="447"/>
      <c r="K76" s="447"/>
      <c r="L76" s="447"/>
      <c r="M76" s="447"/>
      <c r="N76" s="447"/>
      <c r="O76" s="447"/>
      <c r="P76" s="448"/>
      <c r="Q76" s="185"/>
      <c r="R76" s="102"/>
      <c r="S76" s="102"/>
      <c r="T76" s="149"/>
      <c r="U76" s="8">
        <f>Q67+Q66+Q85+Q65</f>
        <v>51673.387096774197</v>
      </c>
      <c r="W76" s="8"/>
    </row>
    <row r="77" spans="1:24" ht="20.45" customHeight="1" x14ac:dyDescent="0.2">
      <c r="A77" s="446"/>
      <c r="B77" s="447"/>
      <c r="C77" s="447"/>
      <c r="D77" s="447"/>
      <c r="E77" s="447"/>
      <c r="F77" s="447"/>
      <c r="G77" s="447"/>
      <c r="H77" s="447"/>
      <c r="I77" s="447"/>
      <c r="J77" s="447"/>
      <c r="K77" s="447"/>
      <c r="L77" s="447"/>
      <c r="M77" s="447"/>
      <c r="N77" s="447"/>
      <c r="O77" s="447"/>
      <c r="P77" s="448"/>
      <c r="Q77" s="185"/>
      <c r="R77" s="102"/>
      <c r="S77" s="102"/>
      <c r="T77" s="149"/>
      <c r="U77" s="8"/>
      <c r="W77" s="8"/>
    </row>
    <row r="78" spans="1:24" ht="20.45" customHeight="1" x14ac:dyDescent="0.25">
      <c r="A78" s="316"/>
      <c r="B78" s="153"/>
      <c r="C78" s="153"/>
      <c r="D78" s="153"/>
      <c r="E78" s="153"/>
      <c r="F78" s="153"/>
      <c r="G78" s="153"/>
      <c r="H78" s="153"/>
      <c r="I78" s="153"/>
      <c r="J78" s="153"/>
      <c r="K78" s="188"/>
      <c r="L78" s="188"/>
      <c r="M78" s="188"/>
      <c r="N78" s="188"/>
      <c r="O78" s="189"/>
      <c r="P78" s="189"/>
      <c r="Q78" s="190"/>
      <c r="R78" s="102"/>
      <c r="S78" s="102"/>
      <c r="T78" s="149"/>
      <c r="U78" s="8"/>
      <c r="W78" s="8">
        <f>Q74+Q63+Q67+Q66+Q60</f>
        <v>269728.22580645158</v>
      </c>
    </row>
    <row r="79" spans="1:24" ht="15.75" x14ac:dyDescent="0.25">
      <c r="A79" s="318">
        <v>1</v>
      </c>
      <c r="B79" s="186">
        <f>'Salary Record'!C989</f>
        <v>0</v>
      </c>
      <c r="C79" s="104"/>
      <c r="D79" s="105"/>
      <c r="E79" s="9">
        <f>'Salary Record'!K988</f>
        <v>0</v>
      </c>
      <c r="F79" s="9">
        <f>'Salary Record'!C994</f>
        <v>0</v>
      </c>
      <c r="G79" s="21">
        <f>'Salary Record'!C995</f>
        <v>0</v>
      </c>
      <c r="H79" s="108">
        <f>'Salary Record'!I993</f>
        <v>0</v>
      </c>
      <c r="I79" s="9">
        <f>'Salary Record'!I992</f>
        <v>0</v>
      </c>
      <c r="J79" s="16">
        <f>'Salary Record'!K993</f>
        <v>0</v>
      </c>
      <c r="K79" s="10">
        <f>'Salary Record'!K994</f>
        <v>0</v>
      </c>
      <c r="L79" s="9">
        <f>'Salary Record'!G992</f>
        <v>0</v>
      </c>
      <c r="M79" s="9">
        <f>'Salary Record'!G993</f>
        <v>0</v>
      </c>
      <c r="N79" s="18">
        <f>'Salary Record'!G994</f>
        <v>0</v>
      </c>
      <c r="O79" s="9">
        <f>'Salary Record'!G995</f>
        <v>0</v>
      </c>
      <c r="P79" s="18">
        <f>'Salary Record'!G996</f>
        <v>0</v>
      </c>
      <c r="Q79" s="164">
        <f>'Salary Record'!K996</f>
        <v>0</v>
      </c>
      <c r="R79" s="132"/>
      <c r="S79" s="23">
        <f>Q79-R79</f>
        <v>0</v>
      </c>
      <c r="T79" s="147"/>
      <c r="U79" s="8"/>
    </row>
    <row r="80" spans="1:24" ht="15" x14ac:dyDescent="0.25">
      <c r="A80" s="317">
        <v>4</v>
      </c>
      <c r="B80" s="142"/>
      <c r="C80" s="99"/>
      <c r="D80" s="98"/>
      <c r="E80" s="10">
        <f>'Salary Record'!K1116</f>
        <v>0</v>
      </c>
      <c r="F80" s="10">
        <f>'Salary Record'!C1122</f>
        <v>0</v>
      </c>
      <c r="G80" s="20">
        <f>'Salary Record'!C1123</f>
        <v>0</v>
      </c>
      <c r="H80" s="10">
        <f>'Salary Record'!I1121</f>
        <v>0</v>
      </c>
      <c r="I80" s="10">
        <f>'Salary Record'!I1120</f>
        <v>22</v>
      </c>
      <c r="J80" s="16">
        <f>'Salary Record'!K1121</f>
        <v>0</v>
      </c>
      <c r="K80" s="16">
        <f>'Salary Record'!K1122</f>
        <v>0</v>
      </c>
      <c r="L80" s="9" t="str">
        <f>'Salary Record'!G1120</f>
        <v/>
      </c>
      <c r="M80" s="17">
        <f>'Salary Record'!G1121</f>
        <v>0</v>
      </c>
      <c r="N80" s="18" t="str">
        <f>'Salary Record'!G1122</f>
        <v/>
      </c>
      <c r="O80" s="17">
        <f>'Salary Record'!G1123</f>
        <v>0</v>
      </c>
      <c r="P80" s="18" t="str">
        <f>'Salary Record'!G1124</f>
        <v/>
      </c>
      <c r="Q80" s="23">
        <f>'Salary Record'!K1124</f>
        <v>0</v>
      </c>
      <c r="R80" s="169">
        <v>40000</v>
      </c>
      <c r="S80" s="23">
        <f t="shared" ref="S80" si="2">Q80-R80</f>
        <v>-40000</v>
      </c>
      <c r="T80" s="147">
        <f>Q60+Q16+Q64</f>
        <v>200579.03225806454</v>
      </c>
      <c r="U80" s="8"/>
    </row>
    <row r="81" spans="1:24" ht="15" x14ac:dyDescent="0.25">
      <c r="A81" s="318">
        <v>5</v>
      </c>
      <c r="B81" s="19">
        <f>'Salary Record'!C1329</f>
        <v>0</v>
      </c>
      <c r="C81" s="99"/>
      <c r="D81" s="98"/>
      <c r="E81" s="10">
        <f>'Salary Record'!K1328</f>
        <v>0</v>
      </c>
      <c r="F81" s="10">
        <f>'Salary Record'!C1334</f>
        <v>0</v>
      </c>
      <c r="G81" s="20">
        <f>'Salary Record'!C1335</f>
        <v>0</v>
      </c>
      <c r="H81" s="10">
        <f>'Salary Record'!I1333</f>
        <v>0</v>
      </c>
      <c r="I81" s="10">
        <f>'Salary Record'!I1332</f>
        <v>31</v>
      </c>
      <c r="J81" s="16">
        <f>'Salary Record'!K1333</f>
        <v>0</v>
      </c>
      <c r="K81" s="10">
        <f>'Salary Record'!K1334</f>
        <v>0</v>
      </c>
      <c r="L81" s="9">
        <f>'Salary Record'!G1332</f>
        <v>0</v>
      </c>
      <c r="M81" s="17">
        <f>'Salary Record'!G1333</f>
        <v>0</v>
      </c>
      <c r="N81" s="18">
        <f>'Salary Record'!G1334</f>
        <v>0</v>
      </c>
      <c r="O81" s="17">
        <f>'Salary Record'!G1335</f>
        <v>0</v>
      </c>
      <c r="P81" s="18">
        <f>'Salary Record'!G1336</f>
        <v>0</v>
      </c>
      <c r="Q81" s="23">
        <f>'Salary Record'!K1336</f>
        <v>0</v>
      </c>
      <c r="R81" s="170">
        <f>Q81*75%</f>
        <v>0</v>
      </c>
      <c r="S81" s="23">
        <v>0</v>
      </c>
      <c r="T81" s="147"/>
    </row>
    <row r="82" spans="1:24" x14ac:dyDescent="0.2">
      <c r="A82" s="319"/>
      <c r="B82" s="174"/>
      <c r="C82" s="174"/>
      <c r="D82" s="174"/>
      <c r="E82" s="124"/>
      <c r="F82" s="124"/>
      <c r="G82" s="175"/>
      <c r="H82" s="124"/>
      <c r="I82" s="124"/>
      <c r="J82" s="124"/>
      <c r="K82" s="124"/>
      <c r="L82" s="124"/>
      <c r="M82" s="124"/>
      <c r="N82" s="176"/>
      <c r="O82" s="124"/>
      <c r="P82" s="176"/>
      <c r="Q82" s="126"/>
    </row>
    <row r="83" spans="1:24" s="211" customFormat="1" ht="21" customHeight="1" x14ac:dyDescent="0.2">
      <c r="A83" s="314">
        <v>6</v>
      </c>
      <c r="B83" s="278" t="str">
        <f>'Salary Record'!C1133</f>
        <v>Rizwan Saeed</v>
      </c>
      <c r="C83" s="237"/>
      <c r="D83" s="238"/>
      <c r="E83" s="116">
        <f>'Salary Record'!K1132</f>
        <v>24500</v>
      </c>
      <c r="F83" s="116">
        <f>'Salary Record'!C1138</f>
        <v>0</v>
      </c>
      <c r="G83" s="285">
        <f>'Salary Record'!C1139</f>
        <v>0</v>
      </c>
      <c r="H83" s="116">
        <f>'Salary Record'!I1137</f>
        <v>36</v>
      </c>
      <c r="I83" s="116">
        <f>'Salary Record'!I1136</f>
        <v>0</v>
      </c>
      <c r="J83" s="281">
        <f>'Salary Record'!K1137</f>
        <v>3556.4516129032259</v>
      </c>
      <c r="K83" s="116">
        <f>'Salary Record'!K1138</f>
        <v>3556.4516129032259</v>
      </c>
      <c r="L83" s="282">
        <f>'Salary Record'!G1136</f>
        <v>0</v>
      </c>
      <c r="M83" s="283">
        <f>'Salary Record'!G1137</f>
        <v>0</v>
      </c>
      <c r="N83" s="284">
        <f>'Salary Record'!G1138</f>
        <v>0</v>
      </c>
      <c r="O83" s="283">
        <f>'Salary Record'!G1139</f>
        <v>0</v>
      </c>
      <c r="P83" s="284">
        <f>'Salary Record'!G1140</f>
        <v>0</v>
      </c>
      <c r="Q83" s="287">
        <f>'Salary Record'!K1140</f>
        <v>0</v>
      </c>
      <c r="R83" s="239"/>
      <c r="S83" s="163"/>
      <c r="T83" s="210" t="s">
        <v>229</v>
      </c>
      <c r="V83" s="212"/>
    </row>
    <row r="84" spans="1:24" s="211" customFormat="1" ht="21" customHeight="1" x14ac:dyDescent="0.2">
      <c r="A84" s="314">
        <v>3</v>
      </c>
      <c r="B84" s="278" t="str">
        <f>'Salary Record'!C251</f>
        <v>Salahuddin</v>
      </c>
      <c r="C84" s="240"/>
      <c r="D84" s="241"/>
      <c r="E84" s="116">
        <f>'Salary Record'!K250</f>
        <v>22000</v>
      </c>
      <c r="F84" s="116">
        <f>'Salary Record'!C256</f>
        <v>0</v>
      </c>
      <c r="G84" s="285">
        <f>'Salary Record'!C257</f>
        <v>0</v>
      </c>
      <c r="H84" s="116">
        <f>'Salary Record'!I255</f>
        <v>0</v>
      </c>
      <c r="I84" s="116">
        <f>'Salary Record'!I254</f>
        <v>0</v>
      </c>
      <c r="J84" s="281">
        <f>'Salary Record'!K255</f>
        <v>0</v>
      </c>
      <c r="K84" s="281">
        <f>'Salary Record'!K256</f>
        <v>0</v>
      </c>
      <c r="L84" s="282">
        <f>'Salary Record'!G254</f>
        <v>0</v>
      </c>
      <c r="M84" s="283">
        <f>'Salary Record'!G255</f>
        <v>0</v>
      </c>
      <c r="N84" s="284">
        <f>'Salary Record'!G256</f>
        <v>0</v>
      </c>
      <c r="O84" s="283">
        <f>'Salary Record'!G257</f>
        <v>0</v>
      </c>
      <c r="P84" s="284">
        <f>'Salary Record'!G258</f>
        <v>0</v>
      </c>
      <c r="Q84" s="286">
        <f>'Salary Record'!K258</f>
        <v>0</v>
      </c>
      <c r="R84" s="239"/>
      <c r="S84" s="163"/>
      <c r="T84" s="210"/>
      <c r="V84" s="212"/>
    </row>
    <row r="85" spans="1:24" s="211" customFormat="1" ht="21" customHeight="1" x14ac:dyDescent="0.2">
      <c r="A85" s="315">
        <v>7</v>
      </c>
      <c r="B85" s="278" t="str">
        <f>'Salary Record'!C878</f>
        <v>Naseer</v>
      </c>
      <c r="C85" s="237"/>
      <c r="D85" s="238"/>
      <c r="E85" s="285">
        <f>'Salary Record'!K877</f>
        <v>0</v>
      </c>
      <c r="F85" s="285">
        <f>'Salary Record'!C883</f>
        <v>0</v>
      </c>
      <c r="G85" s="285">
        <f>'Salary Record'!C884</f>
        <v>0</v>
      </c>
      <c r="H85" s="285">
        <f>'Salary Record'!I882</f>
        <v>0</v>
      </c>
      <c r="I85" s="285">
        <f>'Salary Record'!I881</f>
        <v>0</v>
      </c>
      <c r="J85" s="281">
        <f>'Salary Record'!K882</f>
        <v>0</v>
      </c>
      <c r="K85" s="281">
        <f>'Salary Record'!K883</f>
        <v>0</v>
      </c>
      <c r="L85" s="282">
        <f>'Salary Record'!G881</f>
        <v>0</v>
      </c>
      <c r="M85" s="283">
        <f>'Salary Record'!G882</f>
        <v>0</v>
      </c>
      <c r="N85" s="284">
        <f>'Salary Record'!G883</f>
        <v>0</v>
      </c>
      <c r="O85" s="283">
        <f>'Salary Record'!G884</f>
        <v>0</v>
      </c>
      <c r="P85" s="284">
        <f>'Salary Record'!G885</f>
        <v>0</v>
      </c>
      <c r="Q85" s="287">
        <f>'Salary Record'!K885</f>
        <v>0</v>
      </c>
      <c r="R85" s="239">
        <v>10000</v>
      </c>
      <c r="S85" s="163">
        <f>Q85-R85</f>
        <v>-10000</v>
      </c>
      <c r="T85" s="210"/>
      <c r="U85" s="210"/>
      <c r="V85" s="212"/>
    </row>
    <row r="86" spans="1:24" ht="15" x14ac:dyDescent="0.25">
      <c r="A86" s="317">
        <v>3</v>
      </c>
      <c r="B86" s="19" t="str">
        <f>'Salary Record'!C974</f>
        <v>Junaid</v>
      </c>
      <c r="C86" s="103"/>
      <c r="D86" s="96"/>
      <c r="E86" s="17">
        <f>'Salary Record'!K973</f>
        <v>13000</v>
      </c>
      <c r="F86" s="17">
        <f>'Salary Record'!C979</f>
        <v>0</v>
      </c>
      <c r="G86" s="24">
        <f>'Salary Record'!C980</f>
        <v>0</v>
      </c>
      <c r="H86" s="17">
        <f>'Salary Record'!I978</f>
        <v>0</v>
      </c>
      <c r="I86" s="17">
        <f>'Salary Record'!I977</f>
        <v>0</v>
      </c>
      <c r="J86" s="16">
        <f>'Salary Record'!K978</f>
        <v>0</v>
      </c>
      <c r="K86" s="16">
        <f>'Salary Record'!K979</f>
        <v>0</v>
      </c>
      <c r="L86" s="9">
        <f>'Salary Record'!G977</f>
        <v>0</v>
      </c>
      <c r="M86" s="17">
        <f>'Salary Record'!V976</f>
        <v>0</v>
      </c>
      <c r="N86" s="18">
        <f>'Salary Record'!G979</f>
        <v>0</v>
      </c>
      <c r="O86" s="17">
        <f>'Salary Record'!G980</f>
        <v>0</v>
      </c>
      <c r="P86" s="18">
        <f>'Salary Record'!G981</f>
        <v>0</v>
      </c>
      <c r="Q86" s="23">
        <f>'Salary Record'!K981</f>
        <v>0</v>
      </c>
      <c r="R86" s="169">
        <v>12000</v>
      </c>
      <c r="S86" s="23">
        <f>Q86-R86</f>
        <v>-12000</v>
      </c>
      <c r="T86" s="147"/>
      <c r="U86" s="8"/>
    </row>
    <row r="87" spans="1:24" s="211" customFormat="1" ht="21" customHeight="1" x14ac:dyDescent="0.25">
      <c r="A87" s="317">
        <v>5</v>
      </c>
      <c r="B87" s="364" t="str">
        <f>'Salary Record'!C490</f>
        <v>Zahid Elec</v>
      </c>
      <c r="C87" s="236"/>
      <c r="D87" s="233"/>
      <c r="E87" s="116">
        <f>'Salary Record'!K489</f>
        <v>22000</v>
      </c>
      <c r="F87" s="307">
        <f>'Salary Record'!C495</f>
        <v>0</v>
      </c>
      <c r="G87" s="285">
        <f>'Salary Record'!C496</f>
        <v>0</v>
      </c>
      <c r="H87" s="307">
        <f>'Salary Record'!I494</f>
        <v>0</v>
      </c>
      <c r="I87" s="307">
        <f>'Salary Record'!I493</f>
        <v>0</v>
      </c>
      <c r="J87" s="281">
        <f>'Salary Record'!K494</f>
        <v>0</v>
      </c>
      <c r="K87" s="281">
        <f>'Salary Record'!K495</f>
        <v>0</v>
      </c>
      <c r="L87" s="282">
        <f>'Salary Record'!G493</f>
        <v>0</v>
      </c>
      <c r="M87" s="283">
        <f>'Salary Record'!G494</f>
        <v>0</v>
      </c>
      <c r="N87" s="284">
        <f>'Salary Record'!G495</f>
        <v>0</v>
      </c>
      <c r="O87" s="283">
        <f>'Salary Record'!G496</f>
        <v>0</v>
      </c>
      <c r="P87" s="284">
        <f>'Salary Record'!G497</f>
        <v>0</v>
      </c>
      <c r="Q87" s="287">
        <f>'Salary Record'!K497</f>
        <v>0</v>
      </c>
      <c r="R87" s="163"/>
      <c r="S87" s="163">
        <f>Q87-R87</f>
        <v>0</v>
      </c>
      <c r="T87" s="210" t="s">
        <v>169</v>
      </c>
      <c r="U87" s="211" t="s">
        <v>170</v>
      </c>
      <c r="V87" s="212" t="s">
        <v>168</v>
      </c>
    </row>
    <row r="88" spans="1:24" s="211" customFormat="1" ht="21" customHeight="1" x14ac:dyDescent="0.2">
      <c r="A88" s="314">
        <v>4</v>
      </c>
      <c r="B88" s="364" t="str">
        <f>'Salary Record'!C506</f>
        <v>M. Adeel</v>
      </c>
      <c r="C88" s="244" t="s">
        <v>37</v>
      </c>
      <c r="D88" s="245">
        <f>SUM(Q36:Q55)</f>
        <v>836067.74193548399</v>
      </c>
      <c r="E88" s="281">
        <f>'Salary Record'!K505</f>
        <v>0</v>
      </c>
      <c r="F88" s="281">
        <f>'Salary Record'!C511</f>
        <v>0</v>
      </c>
      <c r="G88" s="281">
        <f>'Salary Record'!C512</f>
        <v>0</v>
      </c>
      <c r="H88" s="281">
        <f>'Salary Record'!I510</f>
        <v>0</v>
      </c>
      <c r="I88" s="281">
        <f>'Salary Record'!I509</f>
        <v>0</v>
      </c>
      <c r="J88" s="281">
        <f>'Salary Record'!K510</f>
        <v>0</v>
      </c>
      <c r="K88" s="116">
        <f>'Salary Record'!K511</f>
        <v>0</v>
      </c>
      <c r="L88" s="282">
        <f>'Salary Record'!G509</f>
        <v>0</v>
      </c>
      <c r="M88" s="283">
        <f>'Salary Record'!G510</f>
        <v>0</v>
      </c>
      <c r="N88" s="284" t="str">
        <f>'Salary Record'!G511</f>
        <v/>
      </c>
      <c r="O88" s="283">
        <f>'Salary Record'!G512</f>
        <v>0</v>
      </c>
      <c r="P88" s="284" t="str">
        <f>'Salary Record'!G513</f>
        <v/>
      </c>
      <c r="Q88" s="287">
        <f>'Salary Record'!K513</f>
        <v>0</v>
      </c>
      <c r="R88" s="163"/>
      <c r="S88" s="163"/>
      <c r="T88" s="210" t="s">
        <v>238</v>
      </c>
      <c r="U88" s="210"/>
      <c r="V88" s="212"/>
    </row>
    <row r="89" spans="1:24" ht="15" x14ac:dyDescent="0.25">
      <c r="A89" s="317">
        <v>9</v>
      </c>
      <c r="B89" s="19">
        <f>'Salary Record'!C283</f>
        <v>0</v>
      </c>
      <c r="C89" s="99"/>
      <c r="D89" s="98"/>
      <c r="E89" s="10">
        <f>'Salary Record'!K282</f>
        <v>0</v>
      </c>
      <c r="F89" s="10">
        <f>'Salary Record'!C288</f>
        <v>0</v>
      </c>
      <c r="G89" s="20">
        <f>'Salary Record'!C289</f>
        <v>0</v>
      </c>
      <c r="H89" s="10">
        <f>'Salary Record'!I287</f>
        <v>0</v>
      </c>
      <c r="I89" s="10">
        <f>'Salary Record'!I286</f>
        <v>0</v>
      </c>
      <c r="J89" s="16">
        <f>'Salary Record'!K287</f>
        <v>0</v>
      </c>
      <c r="K89" s="16">
        <f>'Salary Record'!K288</f>
        <v>0</v>
      </c>
      <c r="L89" s="9">
        <f>'Salary Record'!G286</f>
        <v>0</v>
      </c>
      <c r="M89" s="17">
        <f>'Salary Record'!G287</f>
        <v>0</v>
      </c>
      <c r="N89" s="18">
        <f>'Salary Record'!G288</f>
        <v>0</v>
      </c>
      <c r="O89" s="17">
        <f>'Salary Record'!G289</f>
        <v>0</v>
      </c>
      <c r="P89" s="18">
        <f>'Salary Record'!G290</f>
        <v>0</v>
      </c>
      <c r="Q89" s="23">
        <f>'Salary Record'!K290</f>
        <v>0</v>
      </c>
      <c r="R89" s="169"/>
      <c r="S89" s="23">
        <f>Q89-R89</f>
        <v>0</v>
      </c>
      <c r="T89" s="147"/>
    </row>
    <row r="90" spans="1:24" ht="15" x14ac:dyDescent="0.25">
      <c r="A90" s="317">
        <v>3</v>
      </c>
      <c r="B90" s="19">
        <f>'Salary Record'!C203</f>
        <v>0</v>
      </c>
      <c r="C90" s="103"/>
      <c r="D90" s="96"/>
      <c r="E90" s="17">
        <f>'Salary Record'!K202</f>
        <v>0</v>
      </c>
      <c r="F90" s="17">
        <f>'Salary Record'!C208</f>
        <v>0</v>
      </c>
      <c r="G90" s="24">
        <f>'Salary Record'!C209</f>
        <v>0</v>
      </c>
      <c r="H90" s="17">
        <f>'Salary Record'!I207</f>
        <v>12</v>
      </c>
      <c r="I90" s="17">
        <f>'Salary Record'!I206</f>
        <v>28</v>
      </c>
      <c r="J90" s="16">
        <f>'Salary Record'!K207</f>
        <v>0</v>
      </c>
      <c r="K90" s="16">
        <f>'Salary Record'!K208</f>
        <v>0</v>
      </c>
      <c r="L90" s="9">
        <f>'Salary Record'!G206</f>
        <v>0</v>
      </c>
      <c r="M90" s="17">
        <f>'Salary Record'!G207</f>
        <v>0</v>
      </c>
      <c r="N90" s="18">
        <f>'Salary Record'!G208</f>
        <v>0</v>
      </c>
      <c r="O90" s="17">
        <f>'Salary Record'!G209</f>
        <v>0</v>
      </c>
      <c r="P90" s="18">
        <f>'Salary Record'!G210</f>
        <v>0</v>
      </c>
      <c r="Q90" s="23">
        <f>'Salary Record'!K210</f>
        <v>0</v>
      </c>
      <c r="R90" s="169"/>
      <c r="S90" s="23">
        <f>Q90-R90</f>
        <v>0</v>
      </c>
      <c r="T90" s="147"/>
    </row>
    <row r="91" spans="1:24" s="211" customFormat="1" ht="21" customHeight="1" x14ac:dyDescent="0.2">
      <c r="A91" s="315">
        <v>5</v>
      </c>
      <c r="B91" s="278"/>
      <c r="C91" s="237"/>
      <c r="D91" s="238"/>
      <c r="E91" s="285">
        <f>'Salary Record'!K378</f>
        <v>0</v>
      </c>
      <c r="F91" s="285">
        <f>'Salary Record'!C384</f>
        <v>0</v>
      </c>
      <c r="G91" s="285">
        <f>'Salary Record'!C385</f>
        <v>0</v>
      </c>
      <c r="H91" s="285">
        <f>'Salary Record'!I383</f>
        <v>0</v>
      </c>
      <c r="I91" s="285">
        <f>'Salary Record'!I382</f>
        <v>31</v>
      </c>
      <c r="J91" s="281">
        <f>'Salary Record'!K383</f>
        <v>0</v>
      </c>
      <c r="K91" s="281">
        <f>'Salary Record'!K384</f>
        <v>0</v>
      </c>
      <c r="L91" s="282">
        <f>'Salary Record'!G382</f>
        <v>0</v>
      </c>
      <c r="M91" s="283">
        <f>'Salary Record'!G383</f>
        <v>0</v>
      </c>
      <c r="N91" s="284">
        <f>'Salary Record'!G384</f>
        <v>0</v>
      </c>
      <c r="O91" s="283">
        <f>'Salary Record'!G385</f>
        <v>0</v>
      </c>
      <c r="P91" s="284">
        <f>'Salary Record'!G386</f>
        <v>0</v>
      </c>
      <c r="Q91" s="342">
        <f>'Salary Record'!K386</f>
        <v>0</v>
      </c>
      <c r="R91" s="239"/>
      <c r="S91" s="163"/>
      <c r="T91" s="210"/>
      <c r="U91" s="210"/>
      <c r="V91" s="212"/>
    </row>
    <row r="92" spans="1:24" s="211" customFormat="1" ht="21" customHeight="1" x14ac:dyDescent="0.2">
      <c r="A92" s="314">
        <v>2</v>
      </c>
      <c r="B92" s="371" t="s">
        <v>14</v>
      </c>
      <c r="C92" s="249"/>
      <c r="D92" s="250"/>
      <c r="E92" s="307">
        <f>'Salary Record'!K570</f>
        <v>25000</v>
      </c>
      <c r="F92" s="307">
        <f>'Salary Record'!C576</f>
        <v>0</v>
      </c>
      <c r="G92" s="285">
        <f>'Salary Record'!C577</f>
        <v>0</v>
      </c>
      <c r="H92" s="307">
        <f>'Salary Record'!I575</f>
        <v>0</v>
      </c>
      <c r="I92" s="307">
        <f>'Salary Record'!I574</f>
        <v>0</v>
      </c>
      <c r="J92" s="281">
        <f>'Salary Record'!K575</f>
        <v>0</v>
      </c>
      <c r="K92" s="281">
        <f>'Salary Record'!K576</f>
        <v>0</v>
      </c>
      <c r="L92" s="282">
        <f>'Salary Record'!G574</f>
        <v>0</v>
      </c>
      <c r="M92" s="283">
        <f>'Salary Record'!G575</f>
        <v>0</v>
      </c>
      <c r="N92" s="284" t="str">
        <f>'Salary Record'!G576</f>
        <v/>
      </c>
      <c r="O92" s="283">
        <f>'Salary Record'!G577</f>
        <v>0</v>
      </c>
      <c r="P92" s="284" t="str">
        <f>'Salary Record'!G578</f>
        <v/>
      </c>
      <c r="Q92" s="289">
        <f>'Salary Record'!K578</f>
        <v>0</v>
      </c>
      <c r="R92" s="163"/>
      <c r="S92" s="163"/>
      <c r="T92" s="210" t="s">
        <v>162</v>
      </c>
      <c r="U92" s="211" t="s">
        <v>163</v>
      </c>
      <c r="V92" s="212" t="s">
        <v>164</v>
      </c>
    </row>
    <row r="93" spans="1:24" s="211" customFormat="1" ht="21" customHeight="1" x14ac:dyDescent="0.2">
      <c r="A93" s="315">
        <v>6</v>
      </c>
      <c r="B93" s="278">
        <f>'Salary Record'!C1149</f>
        <v>0</v>
      </c>
      <c r="C93" s="237" t="s">
        <v>98</v>
      </c>
      <c r="D93" s="231">
        <f>Q93</f>
        <v>0</v>
      </c>
      <c r="E93" s="116">
        <f>'Salary Record'!K1148</f>
        <v>0</v>
      </c>
      <c r="F93" s="116">
        <f>'Salary Record'!C1154</f>
        <v>0</v>
      </c>
      <c r="G93" s="285">
        <f>'Salary Record'!C1155</f>
        <v>0</v>
      </c>
      <c r="H93" s="116">
        <f>'Salary Record'!I1153</f>
        <v>0</v>
      </c>
      <c r="I93" s="116">
        <f>'Salary Record'!I1152</f>
        <v>0</v>
      </c>
      <c r="J93" s="281">
        <f>'Salary Record'!K1153</f>
        <v>0</v>
      </c>
      <c r="K93" s="116">
        <f>'Salary Record'!K1154</f>
        <v>0</v>
      </c>
      <c r="L93" s="282">
        <f>'Salary Record'!G1152</f>
        <v>0</v>
      </c>
      <c r="M93" s="283">
        <f>'Salary Record'!G1153</f>
        <v>0</v>
      </c>
      <c r="N93" s="284">
        <f>'Salary Record'!G1154</f>
        <v>0</v>
      </c>
      <c r="O93" s="283">
        <f>'Salary Record'!G1155</f>
        <v>0</v>
      </c>
      <c r="P93" s="284">
        <f>'Salary Record'!G1156</f>
        <v>0</v>
      </c>
      <c r="Q93" s="289">
        <f>'Salary Record'!K1156</f>
        <v>0</v>
      </c>
      <c r="R93" s="163"/>
      <c r="S93" s="163"/>
      <c r="T93" s="210"/>
      <c r="U93" s="210"/>
      <c r="V93" s="212"/>
      <c r="W93" s="210"/>
      <c r="X93" s="210"/>
    </row>
    <row r="94" spans="1:24" ht="15.75" x14ac:dyDescent="0.25">
      <c r="A94" s="318">
        <v>3</v>
      </c>
      <c r="B94" s="19" t="e">
        <f>'Salary Record'!#REF!</f>
        <v>#REF!</v>
      </c>
      <c r="C94" s="99"/>
      <c r="D94" s="98"/>
      <c r="E94" s="10" t="e">
        <f>'Salary Record'!#REF!</f>
        <v>#REF!</v>
      </c>
      <c r="F94" s="10" t="e">
        <f>'Salary Record'!#REF!</f>
        <v>#REF!</v>
      </c>
      <c r="G94" s="20" t="e">
        <f>'Salary Record'!#REF!</f>
        <v>#REF!</v>
      </c>
      <c r="H94" s="10" t="e">
        <f>'Salary Record'!#REF!</f>
        <v>#REF!</v>
      </c>
      <c r="I94" s="10" t="e">
        <f>'Salary Record'!#REF!</f>
        <v>#REF!</v>
      </c>
      <c r="J94" s="16" t="e">
        <f>'Salary Record'!#REF!</f>
        <v>#REF!</v>
      </c>
      <c r="K94" s="10" t="e">
        <f>'Salary Record'!#REF!</f>
        <v>#REF!</v>
      </c>
      <c r="L94" s="9" t="e">
        <f>'Salary Record'!#REF!</f>
        <v>#REF!</v>
      </c>
      <c r="M94" s="17" t="e">
        <f>'Salary Record'!#REF!</f>
        <v>#REF!</v>
      </c>
      <c r="N94" s="18" t="e">
        <f>'Salary Record'!#REF!</f>
        <v>#REF!</v>
      </c>
      <c r="O94" s="17" t="e">
        <f>'Salary Record'!#REF!</f>
        <v>#REF!</v>
      </c>
      <c r="P94" s="18" t="e">
        <f>'Salary Record'!#REF!</f>
        <v>#REF!</v>
      </c>
      <c r="Q94" s="163" t="e">
        <f>'Salary Record'!#REF!</f>
        <v>#REF!</v>
      </c>
      <c r="R94" s="169"/>
      <c r="S94" s="23"/>
      <c r="T94" s="147"/>
      <c r="U94" s="8"/>
    </row>
    <row r="95" spans="1:24" ht="15" x14ac:dyDescent="0.25">
      <c r="A95" s="318">
        <v>7</v>
      </c>
      <c r="B95" s="19">
        <f>'Salary Record'!C1363</f>
        <v>0</v>
      </c>
      <c r="C95" s="106"/>
      <c r="D95" s="96"/>
      <c r="E95" s="20">
        <f>'Salary Record'!K1362</f>
        <v>0</v>
      </c>
      <c r="F95" s="20">
        <f>'Salary Record'!C1368</f>
        <v>0</v>
      </c>
      <c r="G95" s="20">
        <f>'Salary Record'!C1369</f>
        <v>0</v>
      </c>
      <c r="H95" s="20">
        <f>'Salary Record'!I1367</f>
        <v>0</v>
      </c>
      <c r="I95" s="20">
        <f>'Salary Record'!I1366</f>
        <v>0</v>
      </c>
      <c r="J95" s="16">
        <f>'Salary Record'!K1367</f>
        <v>0</v>
      </c>
      <c r="K95" s="16">
        <f>'Salary Record'!K1368</f>
        <v>0</v>
      </c>
      <c r="L95" s="9">
        <f>'Salary Record'!G1366</f>
        <v>0</v>
      </c>
      <c r="M95" s="17">
        <f>'Salary Record'!G1367</f>
        <v>0</v>
      </c>
      <c r="N95" s="18" t="str">
        <f>'Salary Record'!G1368</f>
        <v/>
      </c>
      <c r="O95" s="17">
        <f>'Salary Record'!G1369</f>
        <v>0</v>
      </c>
      <c r="P95" s="18" t="str">
        <f>'Salary Record'!G1370</f>
        <v/>
      </c>
      <c r="Q95" s="23">
        <f>'Salary Record'!K1370</f>
        <v>0</v>
      </c>
      <c r="R95" s="169"/>
      <c r="S95" s="23"/>
      <c r="T95" s="147"/>
    </row>
    <row r="96" spans="1:24" s="211" customFormat="1" ht="19.5" customHeight="1" x14ac:dyDescent="0.2">
      <c r="A96" s="314">
        <v>2</v>
      </c>
      <c r="B96" s="278">
        <f>'Salary Record'!C894</f>
        <v>0</v>
      </c>
      <c r="C96" s="249"/>
      <c r="D96" s="250"/>
      <c r="E96" s="372">
        <f>'Salary Record'!K893</f>
        <v>0</v>
      </c>
      <c r="F96" s="116">
        <f>'Salary Record'!C899</f>
        <v>0</v>
      </c>
      <c r="G96" s="285">
        <f>'Salary Record'!C900</f>
        <v>0</v>
      </c>
      <c r="H96" s="116">
        <f>'Salary Record'!I898</f>
        <v>0</v>
      </c>
      <c r="I96" s="116">
        <f>'Salary Record'!I897</f>
        <v>0</v>
      </c>
      <c r="J96" s="281">
        <f>'Salary Record'!K898</f>
        <v>0</v>
      </c>
      <c r="K96" s="281">
        <f>'Salary Record'!K899</f>
        <v>0</v>
      </c>
      <c r="L96" s="282">
        <f>'Salary Record'!G897</f>
        <v>0</v>
      </c>
      <c r="M96" s="283">
        <f>'Salary Record'!G898</f>
        <v>0</v>
      </c>
      <c r="N96" s="284">
        <f>'Salary Record'!G899</f>
        <v>0</v>
      </c>
      <c r="O96" s="283">
        <f>'Salary Record'!G900</f>
        <v>0</v>
      </c>
      <c r="P96" s="284">
        <f>'Salary Record'!G901</f>
        <v>0</v>
      </c>
      <c r="Q96" s="289">
        <f>'Salary Record'!K901</f>
        <v>0</v>
      </c>
      <c r="R96" s="163"/>
      <c r="S96" s="163"/>
      <c r="T96" s="210"/>
      <c r="V96" s="212"/>
    </row>
    <row r="97" spans="1:26" ht="15.75" x14ac:dyDescent="0.25">
      <c r="A97" s="317">
        <v>3</v>
      </c>
      <c r="B97" s="135" t="str">
        <f>'Salary Record'!C555</f>
        <v>Talha</v>
      </c>
      <c r="C97" s="118"/>
      <c r="D97" s="119"/>
      <c r="E97" s="10">
        <f>'Salary Record'!K554</f>
        <v>24000</v>
      </c>
      <c r="F97" s="10">
        <f>'Salary Record'!C560</f>
        <v>28</v>
      </c>
      <c r="G97" s="20">
        <f>'Salary Record'!C561</f>
        <v>3</v>
      </c>
      <c r="H97" s="10">
        <f>'Salary Record'!I559</f>
        <v>0</v>
      </c>
      <c r="I97" s="10">
        <f>'Salary Record'!I558</f>
        <v>28</v>
      </c>
      <c r="J97" s="16">
        <f>'Salary Record'!K559</f>
        <v>0</v>
      </c>
      <c r="K97" s="16">
        <f>'Salary Record'!K560</f>
        <v>21677.419354838712</v>
      </c>
      <c r="L97" s="9">
        <f>'Salary Record'!G558</f>
        <v>5950</v>
      </c>
      <c r="M97" s="17">
        <f>'Salary Record'!G559</f>
        <v>1850</v>
      </c>
      <c r="N97" s="18">
        <f>'Salary Record'!G560</f>
        <v>7800</v>
      </c>
      <c r="O97" s="17">
        <f>'Salary Record'!G561</f>
        <v>4000</v>
      </c>
      <c r="P97" s="18">
        <f>'Salary Record'!G562</f>
        <v>3800</v>
      </c>
      <c r="Q97" s="163">
        <f>'Salary Record'!K562</f>
        <v>17677.419354838712</v>
      </c>
      <c r="R97" s="170"/>
      <c r="S97" s="23"/>
      <c r="T97" s="147" t="s">
        <v>180</v>
      </c>
      <c r="U97" s="8"/>
    </row>
    <row r="98" spans="1:26" s="211" customFormat="1" ht="18" customHeight="1" x14ac:dyDescent="0.2">
      <c r="A98" s="314">
        <v>2</v>
      </c>
      <c r="B98" s="371">
        <f>'Salary Record'!C1069</f>
        <v>0</v>
      </c>
      <c r="C98" s="237"/>
      <c r="D98" s="238"/>
      <c r="E98" s="116">
        <f>'Salary Record'!K1068</f>
        <v>0</v>
      </c>
      <c r="F98" s="116">
        <f>'Salary Record'!C1074</f>
        <v>0</v>
      </c>
      <c r="G98" s="285">
        <f>'Salary Record'!C1075</f>
        <v>0</v>
      </c>
      <c r="H98" s="116">
        <f>'Salary Record'!I1073</f>
        <v>0</v>
      </c>
      <c r="I98" s="116">
        <f>'Salary Record'!I1072</f>
        <v>0</v>
      </c>
      <c r="J98" s="281">
        <f>'Salary Record'!K1073</f>
        <v>0</v>
      </c>
      <c r="K98" s="281">
        <f>'Salary Record'!K1074</f>
        <v>0</v>
      </c>
      <c r="L98" s="282">
        <f>'Salary Record'!G1072</f>
        <v>0</v>
      </c>
      <c r="M98" s="282">
        <f>'Salary Record'!G1073</f>
        <v>0</v>
      </c>
      <c r="N98" s="284">
        <f>'Salary Record'!G1074</f>
        <v>0</v>
      </c>
      <c r="O98" s="282">
        <f>'Salary Record'!G1075</f>
        <v>0</v>
      </c>
      <c r="P98" s="284">
        <f>'Salary Record'!G1076</f>
        <v>0</v>
      </c>
      <c r="Q98" s="287">
        <f>'Salary Record'!K1076</f>
        <v>0</v>
      </c>
      <c r="R98" s="239">
        <v>0</v>
      </c>
      <c r="S98" s="163"/>
      <c r="T98" s="210"/>
      <c r="U98" s="210"/>
      <c r="V98" s="212"/>
    </row>
    <row r="99" spans="1:26" ht="15" x14ac:dyDescent="0.25">
      <c r="A99" s="318">
        <v>9</v>
      </c>
      <c r="B99" s="19">
        <f>'Salary Record'!C1442</f>
        <v>0</v>
      </c>
      <c r="C99" s="106"/>
      <c r="D99" s="94"/>
      <c r="E99" s="9">
        <f>'Salary Record'!K1441</f>
        <v>0</v>
      </c>
      <c r="F99" s="9">
        <f>'Salary Record'!C1447</f>
        <v>0</v>
      </c>
      <c r="G99" s="21">
        <f>'Salary Record'!C1448</f>
        <v>0</v>
      </c>
      <c r="H99" s="9">
        <f>'Salary Record'!I1446</f>
        <v>0</v>
      </c>
      <c r="I99" s="9">
        <f>'Salary Record'!I1445</f>
        <v>0</v>
      </c>
      <c r="J99" s="16">
        <f>'Salary Record'!K1446</f>
        <v>0</v>
      </c>
      <c r="K99" s="10">
        <f>'Salary Record'!K1447</f>
        <v>0</v>
      </c>
      <c r="L99" s="9">
        <f>'Salary Record'!G1445</f>
        <v>0</v>
      </c>
      <c r="M99" s="9">
        <f>'Salary Record'!G1446</f>
        <v>0</v>
      </c>
      <c r="N99" s="9">
        <f>'Salary Record'!G1447</f>
        <v>0</v>
      </c>
      <c r="O99" s="9">
        <f>'Salary Record'!G1448</f>
        <v>0</v>
      </c>
      <c r="P99" s="9">
        <f>'Salary Record'!G1449</f>
        <v>0</v>
      </c>
      <c r="Q99" s="23">
        <f>'Salary Record'!K1449</f>
        <v>0</v>
      </c>
      <c r="R99" s="169"/>
      <c r="S99" s="23">
        <f>Q99-R99</f>
        <v>0</v>
      </c>
      <c r="T99" s="147"/>
      <c r="U99" s="8"/>
    </row>
    <row r="100" spans="1:26" ht="15" x14ac:dyDescent="0.25">
      <c r="A100" s="317">
        <v>16</v>
      </c>
      <c r="B100" s="142">
        <f>'Salary Record'!C411</f>
        <v>0</v>
      </c>
      <c r="C100" s="99"/>
      <c r="D100" s="98"/>
      <c r="E100" s="20">
        <f>'Salary Record'!K410</f>
        <v>0</v>
      </c>
      <c r="F100" s="20">
        <f>'Salary Record'!C416</f>
        <v>0</v>
      </c>
      <c r="G100" s="20">
        <f>'Salary Record'!C417</f>
        <v>0</v>
      </c>
      <c r="H100" s="20">
        <f>'Salary Record'!I415</f>
        <v>0</v>
      </c>
      <c r="I100" s="20">
        <f>'Salary Record'!I414</f>
        <v>0</v>
      </c>
      <c r="J100" s="16">
        <f>'Salary Record'!K415</f>
        <v>0</v>
      </c>
      <c r="K100" s="16">
        <f>'Salary Record'!K416</f>
        <v>0</v>
      </c>
      <c r="L100" s="9">
        <f>'Salary Record'!G414</f>
        <v>0</v>
      </c>
      <c r="M100" s="17">
        <f>'Salary Record'!G415</f>
        <v>0</v>
      </c>
      <c r="N100" s="18">
        <f>'Salary Record'!G416</f>
        <v>0</v>
      </c>
      <c r="O100" s="17">
        <f>'Salary Record'!G417</f>
        <v>0</v>
      </c>
      <c r="P100" s="18">
        <f>'Salary Record'!G418</f>
        <v>0</v>
      </c>
      <c r="Q100" s="139">
        <f>'Salary Record'!K418</f>
        <v>0</v>
      </c>
      <c r="R100" s="171"/>
      <c r="S100" s="139"/>
      <c r="T100" s="151"/>
      <c r="U100" s="8"/>
    </row>
    <row r="101" spans="1:26" s="211" customFormat="1" ht="21" customHeight="1" x14ac:dyDescent="0.2">
      <c r="A101" s="314">
        <v>2</v>
      </c>
      <c r="B101" s="365" t="s">
        <v>15</v>
      </c>
      <c r="C101" s="252" t="s">
        <v>34</v>
      </c>
      <c r="D101" s="253" t="e">
        <f>SUM(Q24:Q107)</f>
        <v>#REF!</v>
      </c>
      <c r="E101" s="301">
        <f>'Salary Record'!K1459</f>
        <v>0</v>
      </c>
      <c r="F101" s="301">
        <f>'Salary Record'!C1465</f>
        <v>0</v>
      </c>
      <c r="G101" s="302">
        <f>'Salary Record'!C1466</f>
        <v>0</v>
      </c>
      <c r="H101" s="301">
        <f>'Salary Record'!I1464</f>
        <v>0</v>
      </c>
      <c r="I101" s="301">
        <f>'Salary Record'!I1463</f>
        <v>0</v>
      </c>
      <c r="J101" s="274">
        <f>'Salary Record'!K1464</f>
        <v>0</v>
      </c>
      <c r="K101" s="301">
        <f>'Salary Record'!K1465</f>
        <v>0</v>
      </c>
      <c r="L101" s="275">
        <f>'Salary Record'!G1463</f>
        <v>0</v>
      </c>
      <c r="M101" s="275">
        <f>'Salary Record'!G1464</f>
        <v>0</v>
      </c>
      <c r="N101" s="277">
        <f>'Salary Record'!G1465</f>
        <v>0</v>
      </c>
      <c r="O101" s="276">
        <f>'Salary Record'!G1466</f>
        <v>0</v>
      </c>
      <c r="P101" s="277">
        <f>'Salary Record'!G1467</f>
        <v>0</v>
      </c>
      <c r="Q101" s="303">
        <f>'Salary Record'!K1467</f>
        <v>0</v>
      </c>
      <c r="R101" s="224"/>
      <c r="S101" s="163"/>
      <c r="T101" s="210"/>
      <c r="U101" s="210"/>
      <c r="V101" s="212"/>
    </row>
    <row r="102" spans="1:26" ht="15.75" x14ac:dyDescent="0.25">
      <c r="A102" s="318">
        <v>4</v>
      </c>
      <c r="B102" s="135">
        <f>'Salary Record'!C667</f>
        <v>0</v>
      </c>
      <c r="C102" s="103"/>
      <c r="D102" s="96"/>
      <c r="E102" s="17">
        <f>'Salary Record'!K666</f>
        <v>0</v>
      </c>
      <c r="F102" s="17">
        <f>'Salary Record'!C672</f>
        <v>0</v>
      </c>
      <c r="G102" s="24">
        <f>'Salary Record'!C673</f>
        <v>0</v>
      </c>
      <c r="H102" s="17">
        <f>'Salary Record'!I671</f>
        <v>0</v>
      </c>
      <c r="I102" s="17">
        <f>'Salary Record'!I670</f>
        <v>0</v>
      </c>
      <c r="J102" s="16">
        <f>'Salary Record'!K671</f>
        <v>0</v>
      </c>
      <c r="K102" s="16">
        <f>'Salary Record'!K672</f>
        <v>0</v>
      </c>
      <c r="L102" s="9">
        <f>'Salary Record'!G670</f>
        <v>0</v>
      </c>
      <c r="M102" s="17">
        <f>'Salary Record'!G671</f>
        <v>0</v>
      </c>
      <c r="N102" s="18">
        <f>'Salary Record'!G672</f>
        <v>0</v>
      </c>
      <c r="O102" s="17">
        <f>'Salary Record'!G673</f>
        <v>0</v>
      </c>
      <c r="P102" s="18">
        <f>'Salary Record'!G674</f>
        <v>0</v>
      </c>
      <c r="Q102" s="164">
        <f>'Salary Record'!K674</f>
        <v>0</v>
      </c>
      <c r="R102" s="169"/>
      <c r="S102" s="23"/>
      <c r="T102" s="147" t="s">
        <v>182</v>
      </c>
      <c r="U102" s="8"/>
    </row>
    <row r="103" spans="1:26" ht="15.75" x14ac:dyDescent="0.25">
      <c r="A103" s="318">
        <v>3</v>
      </c>
      <c r="B103" s="134">
        <f>'Salary Record'!C890</f>
        <v>0</v>
      </c>
      <c r="C103" s="103"/>
      <c r="D103" s="96"/>
      <c r="E103" s="9">
        <f>'Salary Record'!K889</f>
        <v>0</v>
      </c>
      <c r="F103" s="9">
        <f>'Salary Record'!C895</f>
        <v>0</v>
      </c>
      <c r="G103" s="21">
        <f>'Salary Record'!C896</f>
        <v>0</v>
      </c>
      <c r="H103" s="108">
        <f>'Salary Record'!I894</f>
        <v>0</v>
      </c>
      <c r="I103" s="9">
        <f>'Salary Record'!I893</f>
        <v>0</v>
      </c>
      <c r="J103" s="16">
        <f>'Salary Record'!K894</f>
        <v>0</v>
      </c>
      <c r="K103" s="16">
        <f>'Salary Record'!K895</f>
        <v>0</v>
      </c>
      <c r="L103" s="9">
        <f>'Salary Record'!G893</f>
        <v>0</v>
      </c>
      <c r="M103" s="9">
        <f>'Salary Record'!G894</f>
        <v>0</v>
      </c>
      <c r="N103" s="18">
        <f>'Salary Record'!G895</f>
        <v>0</v>
      </c>
      <c r="O103" s="9">
        <f>'Salary Record'!G896</f>
        <v>0</v>
      </c>
      <c r="P103" s="18">
        <f>'Salary Record'!G897</f>
        <v>0</v>
      </c>
      <c r="Q103" s="163">
        <f>'Salary Record'!K897</f>
        <v>0</v>
      </c>
      <c r="R103" s="132"/>
      <c r="S103" s="23"/>
      <c r="T103" s="147"/>
      <c r="U103" s="8" t="e">
        <f>#REF!+Q103+Q28+Q46+#REF!+#REF!+#REF!</f>
        <v>#REF!</v>
      </c>
      <c r="V103" s="2">
        <v>10000</v>
      </c>
    </row>
    <row r="104" spans="1:26" ht="15" x14ac:dyDescent="0.25">
      <c r="A104" s="318">
        <v>7</v>
      </c>
      <c r="B104" s="19">
        <f>'Salary Record'!C395</f>
        <v>0</v>
      </c>
      <c r="C104" s="99"/>
      <c r="D104" s="98"/>
      <c r="E104" s="20">
        <f>'Salary Record'!K394</f>
        <v>0</v>
      </c>
      <c r="F104" s="20">
        <f>'Salary Record'!C400</f>
        <v>0</v>
      </c>
      <c r="G104" s="20">
        <f>'Salary Record'!C401</f>
        <v>0</v>
      </c>
      <c r="H104" s="20">
        <f>'Salary Record'!I399</f>
        <v>0</v>
      </c>
      <c r="I104" s="20">
        <f>'Salary Record'!I398</f>
        <v>31</v>
      </c>
      <c r="J104" s="16">
        <f>'Salary Record'!K399</f>
        <v>0</v>
      </c>
      <c r="K104" s="16">
        <f>'Salary Record'!K400</f>
        <v>0</v>
      </c>
      <c r="L104" s="9">
        <f>'Salary Record'!G398</f>
        <v>0</v>
      </c>
      <c r="M104" s="17">
        <f>'Salary Record'!G399</f>
        <v>0</v>
      </c>
      <c r="N104" s="18" t="str">
        <f>'Salary Record'!G400</f>
        <v/>
      </c>
      <c r="O104" s="17">
        <f>'Salary Record'!G401</f>
        <v>0</v>
      </c>
      <c r="P104" s="18" t="str">
        <f>'Salary Record'!G402</f>
        <v/>
      </c>
      <c r="Q104" s="23">
        <f>'Salary Record'!K402</f>
        <v>0</v>
      </c>
      <c r="R104" s="169">
        <v>0</v>
      </c>
      <c r="S104" s="23">
        <f>Q104-R104</f>
        <v>0</v>
      </c>
      <c r="T104" s="147"/>
    </row>
    <row r="105" spans="1:26" ht="15" x14ac:dyDescent="0.25">
      <c r="A105" s="318"/>
      <c r="B105" s="19"/>
      <c r="C105" s="177" t="s">
        <v>35</v>
      </c>
      <c r="D105" s="178" t="e">
        <f>SUM(Q25:Q113)</f>
        <v>#REF!</v>
      </c>
      <c r="E105" s="17">
        <f>'Salary Record'!K1410</f>
        <v>0</v>
      </c>
      <c r="F105" s="17">
        <f>'Salary Record'!C1416</f>
        <v>0</v>
      </c>
      <c r="G105" s="24">
        <f>'Salary Record'!C1417</f>
        <v>0</v>
      </c>
      <c r="H105" s="17">
        <f>'Salary Record'!I1415</f>
        <v>0</v>
      </c>
      <c r="I105" s="17">
        <f>'Salary Record'!I1414</f>
        <v>0</v>
      </c>
      <c r="J105" s="16">
        <f>'Salary Record'!K1415</f>
        <v>0</v>
      </c>
      <c r="K105" s="16">
        <f>'Salary Record'!K1416</f>
        <v>0</v>
      </c>
      <c r="L105" s="9">
        <f>'Salary Record'!G1414</f>
        <v>0</v>
      </c>
      <c r="M105" s="17">
        <f>'Salary Record'!G1415</f>
        <v>0</v>
      </c>
      <c r="N105" s="18">
        <f>'Salary Record'!G1416</f>
        <v>0</v>
      </c>
      <c r="O105" s="17">
        <f>'Salary Record'!G1417</f>
        <v>0</v>
      </c>
      <c r="P105" s="18">
        <f>'Salary Record'!G1418</f>
        <v>0</v>
      </c>
      <c r="Q105" s="23">
        <f>'Salary Record'!K1418</f>
        <v>0</v>
      </c>
      <c r="R105" s="169"/>
      <c r="S105" s="23"/>
      <c r="T105" s="147"/>
    </row>
    <row r="106" spans="1:26" s="211" customFormat="1" ht="21" customHeight="1" x14ac:dyDescent="0.2">
      <c r="A106" s="314">
        <v>5</v>
      </c>
      <c r="B106" s="278" t="s">
        <v>218</v>
      </c>
      <c r="C106" s="246" t="s">
        <v>97</v>
      </c>
      <c r="D106" s="247">
        <f>SUM(Q25:Q71)</f>
        <v>1884298.3870967738</v>
      </c>
      <c r="E106" s="307">
        <f>'Salary Record'!K1164</f>
        <v>0</v>
      </c>
      <c r="F106" s="307">
        <f>'Salary Record'!C1170</f>
        <v>0</v>
      </c>
      <c r="G106" s="285">
        <f>'Salary Record'!C1171</f>
        <v>0</v>
      </c>
      <c r="H106" s="307">
        <f>'Salary Record'!I1169</f>
        <v>0</v>
      </c>
      <c r="I106" s="307">
        <f>'Salary Record'!I1168</f>
        <v>0</v>
      </c>
      <c r="J106" s="281">
        <f>'Salary Record'!K1169</f>
        <v>0</v>
      </c>
      <c r="K106" s="281">
        <f>'Salary Record'!K1170</f>
        <v>0</v>
      </c>
      <c r="L106" s="282">
        <f>'Salary Record'!G1168</f>
        <v>0</v>
      </c>
      <c r="M106" s="283">
        <f>'Salary Record'!G1169</f>
        <v>0</v>
      </c>
      <c r="N106" s="284">
        <f>'Salary Record'!G1170</f>
        <v>0</v>
      </c>
      <c r="O106" s="283">
        <f>'Salary Record'!G1171</f>
        <v>0</v>
      </c>
      <c r="P106" s="284">
        <f>'Salary Record'!G1172</f>
        <v>0</v>
      </c>
      <c r="Q106" s="289">
        <f>'Salary Record'!K1172</f>
        <v>0</v>
      </c>
      <c r="R106" s="163"/>
      <c r="S106" s="163"/>
      <c r="T106" s="210" t="s">
        <v>160</v>
      </c>
      <c r="V106" s="212"/>
    </row>
    <row r="107" spans="1:26" x14ac:dyDescent="0.2">
      <c r="A107" s="319"/>
      <c r="B107" s="174"/>
      <c r="C107" s="174"/>
      <c r="D107" s="174"/>
      <c r="E107" s="124"/>
      <c r="F107" s="124"/>
      <c r="G107" s="175"/>
      <c r="H107" s="124"/>
      <c r="I107" s="124"/>
      <c r="J107" s="124"/>
      <c r="K107" s="124"/>
      <c r="L107" s="124"/>
      <c r="M107" s="124"/>
      <c r="N107" s="176"/>
      <c r="O107" s="124"/>
      <c r="P107" s="176"/>
      <c r="Q107" s="126"/>
    </row>
    <row r="108" spans="1:26" s="211" customFormat="1" ht="21" customHeight="1" x14ac:dyDescent="0.2">
      <c r="A108" s="314">
        <v>1</v>
      </c>
      <c r="B108" s="278" t="s">
        <v>12</v>
      </c>
      <c r="C108" s="242" t="s">
        <v>41</v>
      </c>
      <c r="D108" s="243" t="e">
        <f>SUM(Q46:Q100)</f>
        <v>#REF!</v>
      </c>
      <c r="E108" s="283">
        <f>'Salary Record'!K1345</f>
        <v>27000</v>
      </c>
      <c r="F108" s="283">
        <f>'Salary Record'!C1351</f>
        <v>0</v>
      </c>
      <c r="G108" s="280">
        <f>'Salary Record'!C1352</f>
        <v>0</v>
      </c>
      <c r="H108" s="283">
        <f>'Salary Record'!I1350</f>
        <v>0</v>
      </c>
      <c r="I108" s="283">
        <f>'Salary Record'!I1349</f>
        <v>0</v>
      </c>
      <c r="J108" s="281">
        <f>'Salary Record'!K1350</f>
        <v>0</v>
      </c>
      <c r="K108" s="281">
        <f>'Salary Record'!K1351</f>
        <v>0</v>
      </c>
      <c r="L108" s="282">
        <f>'Salary Record'!G1349</f>
        <v>0</v>
      </c>
      <c r="M108" s="283">
        <f>'Salary Record'!G1350</f>
        <v>0</v>
      </c>
      <c r="N108" s="283">
        <f>'Salary Record'!G1351</f>
        <v>0</v>
      </c>
      <c r="O108" s="283">
        <f>'Salary Record'!G1352</f>
        <v>0</v>
      </c>
      <c r="P108" s="284">
        <f>'Salary Record'!G1353</f>
        <v>0</v>
      </c>
      <c r="Q108" s="289">
        <f>'Salary Record'!K1353</f>
        <v>0</v>
      </c>
      <c r="R108" s="163"/>
      <c r="S108" s="163"/>
      <c r="T108" s="210" t="s">
        <v>161</v>
      </c>
      <c r="U108" s="210">
        <f>Q45+Q32+Q25</f>
        <v>497511.69354838715</v>
      </c>
      <c r="V108" s="212"/>
    </row>
    <row r="109" spans="1:26" ht="15" x14ac:dyDescent="0.25">
      <c r="A109" s="317">
        <v>10</v>
      </c>
      <c r="B109" s="19" t="str">
        <f>'Salary Record'!C363</f>
        <v>Azeem D/W</v>
      </c>
      <c r="C109" s="104"/>
      <c r="D109" s="105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0">
        <f>'Salary Record'!K367</f>
        <v>0</v>
      </c>
      <c r="K109" s="80">
        <f>'Salary Record'!K368</f>
        <v>0</v>
      </c>
      <c r="L109" s="81">
        <f>'Salary Record'!G366</f>
        <v>0</v>
      </c>
      <c r="M109" s="81">
        <f>'Salary Record'!G367</f>
        <v>0</v>
      </c>
      <c r="N109" s="82">
        <f>'Salary Record'!G368</f>
        <v>0</v>
      </c>
      <c r="O109" s="81">
        <f>'Salary Record'!G369</f>
        <v>0</v>
      </c>
      <c r="P109" s="82">
        <f>'Salary Record'!G370</f>
        <v>0</v>
      </c>
      <c r="Q109" s="127">
        <f>'Salary Record'!K370</f>
        <v>0</v>
      </c>
      <c r="R109" s="23"/>
      <c r="S109" s="23">
        <f>Q109-R109</f>
        <v>0</v>
      </c>
      <c r="T109" s="147"/>
      <c r="U109" s="8"/>
      <c r="X109" s="2"/>
      <c r="Y109" s="2"/>
      <c r="Z109" s="2"/>
    </row>
    <row r="110" spans="1:26" ht="15.75" x14ac:dyDescent="0.25">
      <c r="A110" s="318">
        <v>3</v>
      </c>
      <c r="B110" s="19" t="s">
        <v>13</v>
      </c>
      <c r="C110" s="95" t="s">
        <v>96</v>
      </c>
      <c r="D110" s="96">
        <f>SUM(Q110:Q110)</f>
        <v>0</v>
      </c>
      <c r="E110" s="10">
        <f>'Salary Record'!K1296</f>
        <v>30000</v>
      </c>
      <c r="F110" s="10">
        <f>'Salary Record'!C1302</f>
        <v>0</v>
      </c>
      <c r="G110" s="20">
        <f>'Salary Record'!C1303</f>
        <v>0</v>
      </c>
      <c r="H110" s="10">
        <f>'Salary Record'!I1301</f>
        <v>0</v>
      </c>
      <c r="I110" s="10">
        <f>'Salary Record'!I1300</f>
        <v>0</v>
      </c>
      <c r="J110" s="16">
        <f>'Salary Record'!K1301</f>
        <v>0</v>
      </c>
      <c r="K110" s="10">
        <f>'Salary Record'!K1302</f>
        <v>0</v>
      </c>
      <c r="L110" s="9">
        <f>'Salary Record'!G1300</f>
        <v>0</v>
      </c>
      <c r="M110" s="17">
        <f>'Salary Record'!G1301</f>
        <v>0</v>
      </c>
      <c r="N110" s="18">
        <f>'Salary Record'!G1302</f>
        <v>0</v>
      </c>
      <c r="O110" s="10">
        <f>'Salary Record'!G1303</f>
        <v>0</v>
      </c>
      <c r="P110" s="18">
        <f>'Salary Record'!G1304</f>
        <v>0</v>
      </c>
      <c r="Q110" s="163">
        <f>'Salary Record'!K1304</f>
        <v>0</v>
      </c>
      <c r="R110" s="169"/>
      <c r="S110" s="23"/>
      <c r="T110" s="147"/>
      <c r="U110" s="8"/>
    </row>
    <row r="111" spans="1:26" s="211" customFormat="1" ht="21" customHeight="1" x14ac:dyDescent="0.2">
      <c r="A111" s="314">
        <v>1</v>
      </c>
      <c r="B111" s="343" t="str">
        <f>'Salary Record'!C926</f>
        <v>Khalid Mansoor</v>
      </c>
      <c r="C111" s="227"/>
      <c r="D111" s="228"/>
      <c r="E111" s="282">
        <f>'Salary Record'!K925</f>
        <v>27500</v>
      </c>
      <c r="F111" s="376">
        <f>'Salary Record'!C931</f>
        <v>0</v>
      </c>
      <c r="G111" s="377">
        <f>'Salary Record'!C932</f>
        <v>0</v>
      </c>
      <c r="H111" s="376">
        <f>'Salary Record'!I930</f>
        <v>2</v>
      </c>
      <c r="I111" s="282">
        <f>'Salary Record'!I929</f>
        <v>0</v>
      </c>
      <c r="J111" s="281">
        <f>'Salary Record'!K930</f>
        <v>221.7741935483871</v>
      </c>
      <c r="K111" s="116">
        <f>'Salary Record'!K931</f>
        <v>221.7741935483871</v>
      </c>
      <c r="L111" s="282">
        <f>'Salary Record'!G929</f>
        <v>0</v>
      </c>
      <c r="M111" s="282">
        <f>'Salary Record'!G930</f>
        <v>0</v>
      </c>
      <c r="N111" s="284" t="str">
        <f>'Salary Record'!G931</f>
        <v/>
      </c>
      <c r="O111" s="282">
        <f>'Salary Record'!G932</f>
        <v>0</v>
      </c>
      <c r="P111" s="284" t="str">
        <f>'Salary Record'!G933</f>
        <v/>
      </c>
      <c r="Q111" s="287">
        <f>'Salary Record'!K933</f>
        <v>0</v>
      </c>
      <c r="R111" s="229">
        <v>0</v>
      </c>
      <c r="S111" s="163"/>
      <c r="T111" s="210" t="s">
        <v>185</v>
      </c>
      <c r="U111" s="212" t="s">
        <v>189</v>
      </c>
      <c r="V111" s="212" t="s">
        <v>190</v>
      </c>
    </row>
    <row r="112" spans="1:26" ht="15.75" x14ac:dyDescent="0.25">
      <c r="A112" s="317">
        <v>4</v>
      </c>
      <c r="B112" s="19" t="str">
        <f>'Salary Record'!C846</f>
        <v>Shaheryar</v>
      </c>
      <c r="C112" s="15"/>
      <c r="D112" s="93"/>
      <c r="E112" s="9">
        <f>'Salary Record'!K845</f>
        <v>19000</v>
      </c>
      <c r="F112" s="9">
        <f>'Salary Record'!C851</f>
        <v>0</v>
      </c>
      <c r="G112" s="21">
        <f>'Salary Record'!C852</f>
        <v>0</v>
      </c>
      <c r="H112" s="9">
        <f>'Salary Record'!I850</f>
        <v>0</v>
      </c>
      <c r="I112" s="9">
        <f>'Salary Record'!I849</f>
        <v>0</v>
      </c>
      <c r="J112" s="16">
        <f>'Salary Record'!K850</f>
        <v>0</v>
      </c>
      <c r="K112" s="16">
        <f>'Salary Record'!K851</f>
        <v>0</v>
      </c>
      <c r="L112" s="9">
        <f>'Salary Record'!G849</f>
        <v>0</v>
      </c>
      <c r="M112" s="9">
        <f>'Salary Record'!G850</f>
        <v>0</v>
      </c>
      <c r="N112" s="179">
        <f>'Salary Record'!G851</f>
        <v>0</v>
      </c>
      <c r="O112" s="9">
        <f>'Salary Record'!G852</f>
        <v>0</v>
      </c>
      <c r="P112" s="179">
        <f>'Salary Record'!G853</f>
        <v>0</v>
      </c>
      <c r="Q112" s="163">
        <f>'Salary Record'!K853</f>
        <v>0</v>
      </c>
      <c r="R112" s="169">
        <v>0</v>
      </c>
      <c r="S112" s="23">
        <f t="shared" ref="S112" si="3">Q112-R112</f>
        <v>0</v>
      </c>
      <c r="T112" s="147"/>
      <c r="U112" s="8"/>
      <c r="X112" s="2"/>
      <c r="Z112" s="2"/>
    </row>
    <row r="113" spans="1:26" ht="15.75" x14ac:dyDescent="0.25">
      <c r="A113" s="318">
        <v>9</v>
      </c>
      <c r="B113" s="19">
        <f>'Salary Record'!C1426</f>
        <v>0</v>
      </c>
      <c r="C113" s="177"/>
      <c r="D113" s="178"/>
      <c r="E113" s="17">
        <f>'Salary Record'!K1425</f>
        <v>0</v>
      </c>
      <c r="F113" s="17">
        <f>'Salary Record'!C1431</f>
        <v>0</v>
      </c>
      <c r="G113" s="24">
        <f>'Salary Record'!C1432</f>
        <v>0</v>
      </c>
      <c r="H113" s="17">
        <f>'Salary Record'!I1430</f>
        <v>0</v>
      </c>
      <c r="I113" s="17">
        <f>'Salary Record'!I1429</f>
        <v>0</v>
      </c>
      <c r="J113" s="16">
        <f>'Salary Record'!K1430</f>
        <v>0</v>
      </c>
      <c r="K113" s="16">
        <f>'Salary Record'!K1431</f>
        <v>0</v>
      </c>
      <c r="L113" s="9" t="str">
        <f>'Salary Record'!G1429</f>
        <v/>
      </c>
      <c r="M113" s="17">
        <f>'Salary Record'!G1430</f>
        <v>0</v>
      </c>
      <c r="N113" s="18" t="str">
        <f>'Salary Record'!G1431</f>
        <v/>
      </c>
      <c r="O113" s="17">
        <f>'Salary Record'!G1432</f>
        <v>0</v>
      </c>
      <c r="P113" s="18" t="str">
        <f>'Salary Record'!G1433</f>
        <v/>
      </c>
      <c r="Q113" s="165">
        <f>'Salary Record'!K1433</f>
        <v>0</v>
      </c>
      <c r="R113" s="172"/>
      <c r="S113" s="112"/>
      <c r="T113" s="150"/>
    </row>
    <row r="114" spans="1:26" s="211" customFormat="1" ht="21" customHeight="1" x14ac:dyDescent="0.2">
      <c r="A114" s="314">
        <v>9</v>
      </c>
      <c r="B114" s="343" t="str">
        <f>'Salary Record'!C1005</f>
        <v>Haneef</v>
      </c>
      <c r="C114" s="237" t="s">
        <v>98</v>
      </c>
      <c r="D114" s="231">
        <f>Q114</f>
        <v>0</v>
      </c>
      <c r="E114" s="116">
        <f>'Salary Record'!K1004</f>
        <v>24000</v>
      </c>
      <c r="F114" s="116">
        <f>'Salary Record'!C1010</f>
        <v>0</v>
      </c>
      <c r="G114" s="285">
        <f>'Salary Record'!C1011</f>
        <v>0</v>
      </c>
      <c r="H114" s="116">
        <f>'Salary Record'!I1009</f>
        <v>18</v>
      </c>
      <c r="I114" s="116">
        <f>'Salary Record'!I1008</f>
        <v>1</v>
      </c>
      <c r="J114" s="281">
        <f>'Salary Record'!K1009</f>
        <v>1741.9354838709678</v>
      </c>
      <c r="K114" s="116">
        <f>'Salary Record'!K1010</f>
        <v>2516.1290322580644</v>
      </c>
      <c r="L114" s="282">
        <f>'Salary Record'!G1008</f>
        <v>0</v>
      </c>
      <c r="M114" s="283">
        <f>'Salary Record'!G1009</f>
        <v>0</v>
      </c>
      <c r="N114" s="284">
        <f>'Salary Record'!G1010</f>
        <v>0</v>
      </c>
      <c r="O114" s="283">
        <f>'Salary Record'!G1011</f>
        <v>0</v>
      </c>
      <c r="P114" s="284">
        <f>'Salary Record'!G1012</f>
        <v>0</v>
      </c>
      <c r="Q114" s="289">
        <f>'Salary Record'!K1012</f>
        <v>0</v>
      </c>
      <c r="R114" s="163"/>
      <c r="S114" s="163"/>
      <c r="T114" s="210" t="s">
        <v>196</v>
      </c>
      <c r="U114" s="210" t="s">
        <v>197</v>
      </c>
      <c r="V114" s="212">
        <v>3000</v>
      </c>
    </row>
    <row r="115" spans="1:26" ht="18" x14ac:dyDescent="0.25">
      <c r="A115" s="3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62"/>
      <c r="P115" s="162"/>
      <c r="Q115" s="166"/>
      <c r="R115" s="173"/>
      <c r="S115" s="102"/>
      <c r="T115" s="149"/>
      <c r="U115" s="8"/>
      <c r="W115" s="8"/>
    </row>
    <row r="116" spans="1:26" ht="18" x14ac:dyDescent="0.25">
      <c r="A116" s="3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62"/>
      <c r="P116" s="162"/>
      <c r="Q116" s="166"/>
      <c r="R116" s="173"/>
      <c r="S116" s="102"/>
      <c r="T116" s="149"/>
      <c r="U116" s="8"/>
      <c r="W116" s="8"/>
    </row>
    <row r="117" spans="1:26" ht="18" x14ac:dyDescent="0.25">
      <c r="A117" s="3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62"/>
      <c r="P117" s="162"/>
      <c r="Q117" s="166"/>
      <c r="R117" s="173"/>
      <c r="S117" s="102"/>
      <c r="T117" s="149"/>
      <c r="U117" s="8"/>
      <c r="W117" s="8"/>
    </row>
    <row r="118" spans="1:26" ht="18" x14ac:dyDescent="0.25">
      <c r="A118" s="3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62"/>
      <c r="P118" s="162"/>
      <c r="Q118" s="166"/>
      <c r="R118" s="173"/>
      <c r="S118" s="102"/>
      <c r="T118" s="149"/>
      <c r="U118" s="8"/>
      <c r="W118" s="8"/>
    </row>
    <row r="119" spans="1:26" ht="18" x14ac:dyDescent="0.25">
      <c r="A119" s="3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62"/>
      <c r="P119" s="162"/>
      <c r="Q119" s="166"/>
      <c r="R119" s="173"/>
      <c r="S119" s="102"/>
      <c r="T119" s="149"/>
      <c r="U119" s="8"/>
      <c r="W119" s="8"/>
    </row>
    <row r="120" spans="1:26" ht="20.25" x14ac:dyDescent="0.25">
      <c r="B120" s="366"/>
      <c r="C120" s="180"/>
      <c r="D120" s="180"/>
      <c r="E120" s="180"/>
      <c r="F120" s="180"/>
      <c r="G120" s="180"/>
      <c r="H120" s="180"/>
      <c r="I120" s="180"/>
      <c r="J120" s="111"/>
      <c r="K120" s="181"/>
      <c r="L120" s="181"/>
      <c r="M120" s="182"/>
      <c r="N120" s="182"/>
      <c r="O120" s="182"/>
      <c r="P120" s="182"/>
      <c r="Q120" s="183"/>
      <c r="R120" s="152"/>
      <c r="S120" s="184"/>
      <c r="T120" s="152"/>
      <c r="U120" s="8"/>
      <c r="X120" s="2"/>
      <c r="Y120" s="2"/>
      <c r="Z120" s="2"/>
    </row>
    <row r="121" spans="1:26" ht="20.25" x14ac:dyDescent="0.3">
      <c r="B121" s="436" t="s">
        <v>111</v>
      </c>
      <c r="C121" s="437"/>
      <c r="D121" s="437"/>
      <c r="E121" s="437"/>
      <c r="F121" s="437"/>
      <c r="G121" s="437"/>
      <c r="H121" s="437"/>
      <c r="I121" s="437"/>
      <c r="J121" s="437"/>
      <c r="K121" s="437"/>
      <c r="L121" s="437"/>
      <c r="M121"/>
      <c r="N121"/>
      <c r="O121"/>
      <c r="P121"/>
      <c r="T121"/>
      <c r="V121"/>
    </row>
    <row r="122" spans="1:26" ht="15" x14ac:dyDescent="0.25">
      <c r="B122" s="367" t="s">
        <v>112</v>
      </c>
      <c r="C122" s="161" t="s">
        <v>150</v>
      </c>
      <c r="D122" s="161" t="s">
        <v>148</v>
      </c>
      <c r="E122" s="161" t="str">
        <f>N1</f>
        <v>October</v>
      </c>
      <c r="G122" s="2"/>
      <c r="H122" s="121"/>
      <c r="K122"/>
      <c r="L122"/>
      <c r="M122"/>
      <c r="N122"/>
      <c r="O122"/>
      <c r="P122"/>
      <c r="T122"/>
      <c r="V122"/>
    </row>
    <row r="123" spans="1:26" x14ac:dyDescent="0.2">
      <c r="B123" s="368" t="s">
        <v>255</v>
      </c>
      <c r="C123" s="157">
        <v>100000</v>
      </c>
      <c r="D123" s="158">
        <v>100000</v>
      </c>
      <c r="E123" s="158">
        <v>25000</v>
      </c>
      <c r="G123" s="2"/>
      <c r="H123" s="121"/>
      <c r="K123" s="8"/>
      <c r="L123"/>
      <c r="M123"/>
      <c r="N123"/>
      <c r="O123"/>
      <c r="P123"/>
      <c r="T123"/>
      <c r="V123"/>
    </row>
    <row r="124" spans="1:26" x14ac:dyDescent="0.2">
      <c r="B124" s="368" t="s">
        <v>240</v>
      </c>
      <c r="C124" s="157"/>
      <c r="D124" s="158"/>
      <c r="E124" s="158">
        <v>25000</v>
      </c>
      <c r="G124" s="2"/>
      <c r="H124" s="121"/>
      <c r="K124"/>
      <c r="L124"/>
      <c r="M124"/>
      <c r="N124"/>
      <c r="O124"/>
      <c r="P124"/>
      <c r="T124"/>
      <c r="V124"/>
    </row>
    <row r="125" spans="1:26" x14ac:dyDescent="0.2">
      <c r="B125" s="368" t="s">
        <v>258</v>
      </c>
      <c r="C125" s="157"/>
      <c r="D125" s="158"/>
      <c r="E125" s="158">
        <v>25000</v>
      </c>
      <c r="G125" s="2"/>
      <c r="H125" s="121"/>
      <c r="I125" s="2" t="e">
        <f>Q74+#REF!+Q60+Q53+#REF!+Q45+Q32+Q25+Q19+Q5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68" t="s">
        <v>104</v>
      </c>
      <c r="C126" s="157"/>
      <c r="D126" s="158"/>
      <c r="E126" s="158">
        <v>25000</v>
      </c>
      <c r="G126" s="2"/>
      <c r="H126" s="121"/>
      <c r="K126"/>
      <c r="L126"/>
      <c r="M126"/>
      <c r="N126"/>
      <c r="O126"/>
      <c r="P126"/>
      <c r="T126"/>
      <c r="V126"/>
    </row>
    <row r="127" spans="1:26" ht="14.25" x14ac:dyDescent="0.2">
      <c r="B127" s="368" t="s">
        <v>241</v>
      </c>
      <c r="C127" s="157"/>
      <c r="D127" s="158"/>
      <c r="E127" s="158">
        <v>70000</v>
      </c>
      <c r="F127" s="130"/>
      <c r="G127" s="130"/>
      <c r="H127" s="130"/>
      <c r="I127" s="130"/>
      <c r="K127"/>
      <c r="L127"/>
      <c r="M127"/>
      <c r="N127"/>
      <c r="O127"/>
      <c r="P127"/>
      <c r="T127"/>
      <c r="V127"/>
    </row>
    <row r="128" spans="1:26" x14ac:dyDescent="0.2">
      <c r="B128" s="368" t="s">
        <v>36</v>
      </c>
      <c r="C128" s="157"/>
      <c r="D128" s="158"/>
      <c r="E128" s="158">
        <f>Q19</f>
        <v>137774.19354838709</v>
      </c>
      <c r="G128" s="2"/>
      <c r="H128" s="121"/>
      <c r="K128"/>
      <c r="L128"/>
      <c r="M128"/>
      <c r="N128"/>
      <c r="O128"/>
      <c r="P128"/>
      <c r="T128"/>
      <c r="V128"/>
    </row>
    <row r="129" spans="2:22" x14ac:dyDescent="0.2">
      <c r="B129" s="368" t="s">
        <v>242</v>
      </c>
      <c r="C129" s="157"/>
      <c r="D129" s="158"/>
      <c r="E129" s="158">
        <f>Q25</f>
        <v>95745.967741935485</v>
      </c>
      <c r="F129" s="8"/>
      <c r="G129" s="8"/>
      <c r="H129" s="159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68" t="s">
        <v>243</v>
      </c>
      <c r="C130" s="157"/>
      <c r="D130" s="158"/>
      <c r="E130" s="158">
        <f>Q32</f>
        <v>115409.27419354839</v>
      </c>
      <c r="G130" s="2"/>
      <c r="H130" s="121"/>
      <c r="J130" s="8"/>
      <c r="K130"/>
      <c r="L130"/>
      <c r="M130"/>
      <c r="N130"/>
      <c r="O130"/>
      <c r="P130"/>
      <c r="T130"/>
      <c r="V130"/>
    </row>
    <row r="131" spans="2:22" x14ac:dyDescent="0.2">
      <c r="B131" s="368" t="s">
        <v>240</v>
      </c>
      <c r="C131" s="157"/>
      <c r="D131" s="158"/>
      <c r="E131" s="158">
        <f>Q45</f>
        <v>286356.45161290327</v>
      </c>
      <c r="G131" s="2"/>
      <c r="H131" s="121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68" t="s">
        <v>41</v>
      </c>
      <c r="C132" s="157"/>
      <c r="D132" s="158"/>
      <c r="E132" s="158">
        <f>Q53</f>
        <v>157701.61290322582</v>
      </c>
      <c r="F132" s="8"/>
      <c r="G132" s="8"/>
      <c r="H132" s="159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68" t="s">
        <v>104</v>
      </c>
      <c r="C133" s="157"/>
      <c r="D133" s="158"/>
      <c r="E133" s="158">
        <f>Q60</f>
        <v>130901.6129032258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375" t="s">
        <v>255</v>
      </c>
      <c r="C134" s="157"/>
      <c r="D134" s="158"/>
      <c r="E134" s="158">
        <f>Q70</f>
        <v>203907.25806451612</v>
      </c>
      <c r="F134"/>
      <c r="G134" s="8">
        <f>E137-E123-E124-E125-E126-E127-E136</f>
        <v>1155796.3709677418</v>
      </c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 s="419" t="s">
        <v>244</v>
      </c>
      <c r="C135" s="157"/>
      <c r="D135" s="158"/>
      <c r="E135" s="158">
        <f>Q73</f>
        <v>28000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68" t="s">
        <v>245</v>
      </c>
      <c r="C136" s="157"/>
      <c r="D136" s="158"/>
      <c r="E136" s="158">
        <v>5000</v>
      </c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ht="15" x14ac:dyDescent="0.25">
      <c r="B137" s="369" t="s">
        <v>119</v>
      </c>
      <c r="C137" s="156">
        <f>SUM(C123:C136)</f>
        <v>100000</v>
      </c>
      <c r="D137" s="156">
        <f>SUM(D123:D136)</f>
        <v>100000</v>
      </c>
      <c r="E137" s="156">
        <f>SUM(E123:E136)</f>
        <v>1330796.3709677418</v>
      </c>
      <c r="F137"/>
      <c r="G137"/>
      <c r="H137" s="8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/>
      <c r="C139"/>
      <c r="D139"/>
      <c r="E139" s="159"/>
      <c r="F139"/>
      <c r="G139"/>
      <c r="H139"/>
      <c r="I139"/>
      <c r="J139"/>
      <c r="K139"/>
      <c r="L139"/>
      <c r="M139"/>
      <c r="N139"/>
      <c r="O139" s="8"/>
      <c r="P139" s="8"/>
      <c r="U139" s="2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2"/>
      <c r="U140" s="8"/>
    </row>
    <row r="141" spans="2:22" ht="15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122">
        <f>SUM(O121:O138)</f>
        <v>0</v>
      </c>
      <c r="P141" s="8"/>
    </row>
    <row r="142" spans="2:22" x14ac:dyDescent="0.2">
      <c r="B142"/>
      <c r="C142"/>
      <c r="D142"/>
      <c r="E142" s="8"/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/>
      <c r="C143"/>
      <c r="D143"/>
      <c r="E143" s="8"/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 s="8"/>
      <c r="R144" s="8"/>
      <c r="S144" s="8"/>
      <c r="T144" s="159"/>
      <c r="U144" s="8"/>
    </row>
    <row r="145" spans="2:22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P145"/>
      <c r="U145" s="2"/>
      <c r="V145"/>
    </row>
    <row r="146" spans="2:22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U146" s="2"/>
      <c r="V146"/>
    </row>
    <row r="147" spans="2:22" x14ac:dyDescent="0.2">
      <c r="B147"/>
      <c r="C147"/>
      <c r="D147"/>
      <c r="E147"/>
      <c r="J147"/>
      <c r="K147"/>
      <c r="L147"/>
      <c r="M147"/>
      <c r="N147"/>
      <c r="O147"/>
      <c r="P147"/>
      <c r="U147" s="8"/>
      <c r="V147"/>
    </row>
    <row r="148" spans="2:22" x14ac:dyDescent="0.2">
      <c r="B148"/>
      <c r="C148"/>
      <c r="D148"/>
      <c r="E148"/>
      <c r="J148"/>
      <c r="K148"/>
      <c r="L148"/>
      <c r="M148"/>
      <c r="N148"/>
      <c r="O148"/>
      <c r="P148"/>
      <c r="V148"/>
    </row>
    <row r="149" spans="2:22" x14ac:dyDescent="0.2">
      <c r="B149"/>
      <c r="C149"/>
      <c r="D149"/>
      <c r="E149"/>
      <c r="J149"/>
      <c r="K149"/>
      <c r="L149"/>
      <c r="M149"/>
      <c r="N149"/>
      <c r="O149"/>
      <c r="P149"/>
      <c r="U149" s="8"/>
      <c r="V149"/>
    </row>
    <row r="150" spans="2:22" x14ac:dyDescent="0.2">
      <c r="B150"/>
      <c r="C150"/>
      <c r="D150"/>
      <c r="E150"/>
      <c r="J150"/>
      <c r="K150"/>
      <c r="L150"/>
      <c r="M150"/>
      <c r="N150"/>
      <c r="O150"/>
      <c r="P150"/>
      <c r="V150"/>
    </row>
    <row r="151" spans="2:22" x14ac:dyDescent="0.2">
      <c r="B151"/>
      <c r="C151"/>
      <c r="D151"/>
      <c r="E151"/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K153"/>
      <c r="L153"/>
      <c r="M153"/>
      <c r="N153"/>
      <c r="O153"/>
      <c r="P153"/>
    </row>
    <row r="154" spans="2:22" x14ac:dyDescent="0.2">
      <c r="K154"/>
      <c r="L154"/>
      <c r="M154"/>
      <c r="N154"/>
      <c r="P154"/>
    </row>
    <row r="155" spans="2:22" x14ac:dyDescent="0.2">
      <c r="P155"/>
    </row>
    <row r="156" spans="2:22" x14ac:dyDescent="0.2">
      <c r="P156" s="3">
        <f>Q53+Q11</f>
        <v>157701.61290322582</v>
      </c>
    </row>
    <row r="157" spans="2:22" x14ac:dyDescent="0.2">
      <c r="P157" s="3">
        <v>14580</v>
      </c>
    </row>
    <row r="158" spans="2:22" x14ac:dyDescent="0.2">
      <c r="P158" s="3">
        <v>20000</v>
      </c>
      <c r="U158" s="8"/>
    </row>
    <row r="159" spans="2:22" x14ac:dyDescent="0.2">
      <c r="P159" s="3">
        <v>4150</v>
      </c>
      <c r="U159" s="2"/>
    </row>
    <row r="160" spans="2:22" x14ac:dyDescent="0.2">
      <c r="U160" s="2"/>
    </row>
    <row r="161" spans="21:21" x14ac:dyDescent="0.2">
      <c r="U161" s="8"/>
    </row>
    <row r="163" spans="21:21" x14ac:dyDescent="0.2">
      <c r="U163" s="8"/>
    </row>
  </sheetData>
  <autoFilter ref="A3:Z119" xr:uid="{00000000-0009-0000-0000-000000000000}"/>
  <mergeCells count="27">
    <mergeCell ref="B121:L121"/>
    <mergeCell ref="N1:O2"/>
    <mergeCell ref="A1:M2"/>
    <mergeCell ref="A75:B75"/>
    <mergeCell ref="A74:B74"/>
    <mergeCell ref="A76:P76"/>
    <mergeCell ref="A77:P77"/>
    <mergeCell ref="A55:Q55"/>
    <mergeCell ref="A62:Q62"/>
    <mergeCell ref="P1:P2"/>
    <mergeCell ref="A6:Q6"/>
    <mergeCell ref="C7:C10"/>
    <mergeCell ref="D7:D10"/>
    <mergeCell ref="A60:B60"/>
    <mergeCell ref="A70:B70"/>
    <mergeCell ref="A25:B25"/>
    <mergeCell ref="A72:Q72"/>
    <mergeCell ref="A13:Q13"/>
    <mergeCell ref="A21:Q21"/>
    <mergeCell ref="A11:B11"/>
    <mergeCell ref="A19:B19"/>
    <mergeCell ref="A53:B53"/>
    <mergeCell ref="A32:B32"/>
    <mergeCell ref="A45:B45"/>
    <mergeCell ref="A34:Q34"/>
    <mergeCell ref="A27:Q27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3" max="16" man="1"/>
    <brk id="54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72"/>
  <sheetViews>
    <sheetView tabSelected="1" view="pageBreakPreview" topLeftCell="A685" zoomScale="90" zoomScaleNormal="60" zoomScaleSheetLayoutView="90" workbookViewId="0">
      <selection activeCell="Y708" sqref="Y708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4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32" t="s">
        <v>68</v>
      </c>
      <c r="D1" s="532"/>
      <c r="E1" s="532"/>
      <c r="F1" s="532"/>
      <c r="G1" s="532"/>
      <c r="H1" s="532"/>
      <c r="I1" s="532"/>
      <c r="J1" s="13" t="s">
        <v>54</v>
      </c>
      <c r="K1" s="12">
        <v>2022</v>
      </c>
      <c r="L1" s="12"/>
      <c r="R1" s="83">
        <f>K48+K64+K80+K96+K112+K497+K129+K161+K144+K177+K981+K210+K513+K226+K242+K1124+K274+K290+K386+K402+K418+K449+K1076+K1467+K965+K1012+K338+K674+K354+K465+K562+K1172+K578+K594+K658+K690+K1252+K1304+K1336+K1156+K1092+K1418+K1449+K706+K722+K738+K322+K1188+K1204+K996+K610+K370+K1268+K626+K853+K869+K885+K433+K901+K1028+K933+K949+K1044+K1108+K1060+K528+K481+K642+K1140+K1220+K917+K258-12678</f>
        <v>1091654.6612903224</v>
      </c>
      <c r="U1" s="110">
        <f>K158+K1265+K174+K223+K239+K255+K271+K319+K335+K351+K383+K430+K494+K446+K1464+K462+K1201+K525+K962+K575+K591+K623+K655+K687+K1350+K1185+K607+K1153+K510+K703+K866+K882+K898+K1217+K914+K930+K478+K639+K946+K1041+K1057+K1089+K1105+K1137</f>
        <v>116733.46774193548</v>
      </c>
    </row>
    <row r="2" spans="1:27" ht="18.75" x14ac:dyDescent="0.3">
      <c r="J2" s="11" t="s">
        <v>62</v>
      </c>
      <c r="K2" s="4">
        <v>31</v>
      </c>
      <c r="R2" s="110"/>
      <c r="U2" s="110"/>
    </row>
    <row r="4" spans="1:27" s="87" customFormat="1" ht="21" customHeight="1" x14ac:dyDescent="0.2">
      <c r="N4" s="63"/>
      <c r="O4" s="63"/>
      <c r="P4" s="63"/>
      <c r="Q4" s="63"/>
      <c r="R4" s="207"/>
      <c r="S4" s="63"/>
      <c r="T4" s="63"/>
      <c r="U4" s="207"/>
      <c r="V4" s="63"/>
      <c r="W4" s="63"/>
      <c r="X4" s="63"/>
      <c r="Y4" s="63"/>
      <c r="Z4" s="63"/>
    </row>
    <row r="5" spans="1:27" s="87" customFormat="1" ht="21" customHeight="1" thickBot="1" x14ac:dyDescent="0.25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x14ac:dyDescent="0.2">
      <c r="A6" s="474" t="s">
        <v>42</v>
      </c>
      <c r="B6" s="475"/>
      <c r="C6" s="475"/>
      <c r="D6" s="475"/>
      <c r="E6" s="475"/>
      <c r="F6" s="475"/>
      <c r="G6" s="475"/>
      <c r="H6" s="475"/>
      <c r="I6" s="475"/>
      <c r="J6" s="475"/>
      <c r="K6" s="475"/>
      <c r="L6" s="476"/>
      <c r="M6" s="88"/>
      <c r="N6" s="64"/>
      <c r="O6" s="469" t="s">
        <v>44</v>
      </c>
      <c r="P6" s="470"/>
      <c r="Q6" s="470"/>
      <c r="R6" s="471"/>
      <c r="S6" s="65"/>
      <c r="T6" s="469" t="s">
        <v>45</v>
      </c>
      <c r="U6" s="470"/>
      <c r="V6" s="470"/>
      <c r="W6" s="470"/>
      <c r="X6" s="470"/>
      <c r="Y6" s="533"/>
      <c r="Z6" s="86"/>
      <c r="AA6" s="28"/>
    </row>
    <row r="7" spans="1:27" s="29" customFormat="1" ht="21" customHeight="1" x14ac:dyDescent="0.2">
      <c r="A7" s="30"/>
      <c r="C7" s="466" t="s">
        <v>92</v>
      </c>
      <c r="D7" s="466"/>
      <c r="E7" s="466"/>
      <c r="F7" s="466"/>
      <c r="G7" s="31" t="str">
        <f>$J$1</f>
        <v>October</v>
      </c>
      <c r="H7" s="467">
        <f>$K$1</f>
        <v>2022</v>
      </c>
      <c r="I7" s="467"/>
      <c r="K7" s="32"/>
      <c r="L7" s="33"/>
      <c r="M7" s="89"/>
      <c r="N7" s="67"/>
      <c r="O7" s="68" t="s">
        <v>55</v>
      </c>
      <c r="P7" s="68" t="s">
        <v>7</v>
      </c>
      <c r="Q7" s="68" t="s">
        <v>6</v>
      </c>
      <c r="R7" s="68" t="s">
        <v>56</v>
      </c>
      <c r="S7" s="69"/>
      <c r="T7" s="68" t="s">
        <v>55</v>
      </c>
      <c r="U7" s="68" t="s">
        <v>57</v>
      </c>
      <c r="V7" s="68" t="s">
        <v>22</v>
      </c>
      <c r="W7" s="68" t="s">
        <v>21</v>
      </c>
      <c r="X7" s="68" t="s">
        <v>23</v>
      </c>
      <c r="Y7" s="90" t="s">
        <v>61</v>
      </c>
      <c r="Z7" s="70"/>
      <c r="AA7" s="32"/>
    </row>
    <row r="8" spans="1:27" s="29" customFormat="1" ht="21" customHeight="1" x14ac:dyDescent="0.2">
      <c r="A8" s="30"/>
      <c r="D8" s="35"/>
      <c r="E8" s="35"/>
      <c r="F8" s="35"/>
      <c r="G8" s="35"/>
      <c r="H8" s="35"/>
      <c r="J8" s="36" t="s">
        <v>1</v>
      </c>
      <c r="K8" s="37">
        <v>50000</v>
      </c>
      <c r="L8" s="38"/>
      <c r="M8" s="30"/>
      <c r="N8" s="71"/>
      <c r="O8" s="72" t="s">
        <v>47</v>
      </c>
      <c r="P8" s="72"/>
      <c r="Q8" s="72"/>
      <c r="R8" s="72"/>
      <c r="S8" s="73"/>
      <c r="T8" s="72" t="s">
        <v>47</v>
      </c>
      <c r="U8" s="74"/>
      <c r="V8" s="74"/>
      <c r="W8" s="74">
        <f>V8+U8</f>
        <v>0</v>
      </c>
      <c r="X8" s="74"/>
      <c r="Y8" s="91">
        <f>W8-X8</f>
        <v>0</v>
      </c>
      <c r="Z8" s="70"/>
    </row>
    <row r="9" spans="1:27" s="29" customFormat="1" ht="21" customHeight="1" x14ac:dyDescent="0.2">
      <c r="A9" s="30"/>
      <c r="B9" s="29" t="s">
        <v>0</v>
      </c>
      <c r="C9" s="40" t="s">
        <v>74</v>
      </c>
      <c r="H9" s="41"/>
      <c r="I9" s="35"/>
      <c r="L9" s="42"/>
      <c r="M9" s="88"/>
      <c r="N9" s="75"/>
      <c r="O9" s="72" t="s">
        <v>73</v>
      </c>
      <c r="P9" s="72"/>
      <c r="Q9" s="72"/>
      <c r="R9" s="72" t="str">
        <f>IF(Q9="","",R8-Q9)</f>
        <v/>
      </c>
      <c r="S9" s="63"/>
      <c r="T9" s="72" t="s">
        <v>73</v>
      </c>
      <c r="U9" s="109" t="str">
        <f>IF($J$1="February",Y8,"")</f>
        <v/>
      </c>
      <c r="V9" s="74"/>
      <c r="W9" s="109" t="str">
        <f>IF(U9="","",U9+V9)</f>
        <v/>
      </c>
      <c r="X9" s="74"/>
      <c r="Y9" s="109" t="str">
        <f>IF(W9="","",W9-X9)</f>
        <v/>
      </c>
      <c r="Z9" s="76"/>
      <c r="AA9" s="28"/>
    </row>
    <row r="10" spans="1:27" s="29" customFormat="1" ht="21" customHeight="1" x14ac:dyDescent="0.2">
      <c r="A10" s="30"/>
      <c r="B10" s="44" t="s">
        <v>43</v>
      </c>
      <c r="C10" s="45"/>
      <c r="F10" s="468" t="s">
        <v>45</v>
      </c>
      <c r="G10" s="468"/>
      <c r="I10" s="468" t="s">
        <v>46</v>
      </c>
      <c r="J10" s="468"/>
      <c r="K10" s="468"/>
      <c r="L10" s="46"/>
      <c r="M10" s="30"/>
      <c r="N10" s="71"/>
      <c r="O10" s="72" t="s">
        <v>48</v>
      </c>
      <c r="P10" s="72"/>
      <c r="Q10" s="72"/>
      <c r="R10" s="72" t="str">
        <f t="shared" ref="R10:R19" si="0">IF(Q10="","",R9-Q10)</f>
        <v/>
      </c>
      <c r="S10" s="63"/>
      <c r="T10" s="72" t="s">
        <v>48</v>
      </c>
      <c r="U10" s="109" t="str">
        <f>IF($J$1="March",Y9,"")</f>
        <v/>
      </c>
      <c r="V10" s="74"/>
      <c r="W10" s="109" t="str">
        <f t="shared" ref="W10:W19" si="1">IF(U10="","",U10+V10)</f>
        <v/>
      </c>
      <c r="X10" s="74"/>
      <c r="Y10" s="109" t="str">
        <f t="shared" ref="Y10:Y19" si="2">IF(W10="","",W10-X10)</f>
        <v/>
      </c>
      <c r="Z10" s="76"/>
    </row>
    <row r="11" spans="1:27" s="29" customFormat="1" ht="21" customHeight="1" x14ac:dyDescent="0.2">
      <c r="A11" s="30"/>
      <c r="H11" s="47"/>
      <c r="L11" s="34"/>
      <c r="M11" s="30"/>
      <c r="N11" s="71"/>
      <c r="O11" s="72" t="s">
        <v>49</v>
      </c>
      <c r="P11" s="72"/>
      <c r="Q11" s="72"/>
      <c r="R11" s="72" t="str">
        <f t="shared" si="0"/>
        <v/>
      </c>
      <c r="S11" s="63"/>
      <c r="T11" s="72" t="s">
        <v>49</v>
      </c>
      <c r="U11" s="109" t="str">
        <f>IF($J$1="April",Y10,"")</f>
        <v/>
      </c>
      <c r="V11" s="74"/>
      <c r="W11" s="109" t="str">
        <f t="shared" si="1"/>
        <v/>
      </c>
      <c r="X11" s="74"/>
      <c r="Y11" s="109" t="str">
        <f t="shared" si="2"/>
        <v/>
      </c>
      <c r="Z11" s="76"/>
    </row>
    <row r="12" spans="1:27" s="29" customFormat="1" ht="21" customHeight="1" x14ac:dyDescent="0.2">
      <c r="A12" s="30"/>
      <c r="B12" s="472" t="s">
        <v>44</v>
      </c>
      <c r="C12" s="473"/>
      <c r="F12" s="48" t="s">
        <v>66</v>
      </c>
      <c r="G12" s="43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7"/>
      <c r="I12" s="49">
        <f>IF(C16&gt;=C15,$K$2,C14-C15+C16)</f>
        <v>31</v>
      </c>
      <c r="J12" s="50" t="s">
        <v>63</v>
      </c>
      <c r="K12" s="51">
        <f>K8/$K$2*I12</f>
        <v>50000</v>
      </c>
      <c r="L12" s="52"/>
      <c r="M12" s="30"/>
      <c r="N12" s="71"/>
      <c r="O12" s="72" t="s">
        <v>50</v>
      </c>
      <c r="P12" s="72"/>
      <c r="Q12" s="72"/>
      <c r="R12" s="72" t="str">
        <f t="shared" si="0"/>
        <v/>
      </c>
      <c r="S12" s="63"/>
      <c r="T12" s="72" t="s">
        <v>50</v>
      </c>
      <c r="U12" s="109" t="str">
        <f>IF($J$1="May",Y11,"")</f>
        <v/>
      </c>
      <c r="V12" s="74"/>
      <c r="W12" s="109" t="str">
        <f t="shared" si="1"/>
        <v/>
      </c>
      <c r="X12" s="74"/>
      <c r="Y12" s="109" t="str">
        <f t="shared" si="2"/>
        <v/>
      </c>
      <c r="Z12" s="76"/>
    </row>
    <row r="13" spans="1:27" s="29" customFormat="1" ht="21" customHeight="1" x14ac:dyDescent="0.2">
      <c r="A13" s="30"/>
      <c r="B13" s="39"/>
      <c r="C13" s="39"/>
      <c r="F13" s="48" t="s">
        <v>22</v>
      </c>
      <c r="G13" s="43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7"/>
      <c r="I13" s="49"/>
      <c r="J13" s="50" t="s">
        <v>64</v>
      </c>
      <c r="K13" s="53">
        <f>K8/$K$2/8*I13</f>
        <v>0</v>
      </c>
      <c r="L13" s="54"/>
      <c r="M13" s="30"/>
      <c r="N13" s="71"/>
      <c r="O13" s="72" t="s">
        <v>51</v>
      </c>
      <c r="P13" s="72"/>
      <c r="Q13" s="72"/>
      <c r="R13" s="72" t="str">
        <f t="shared" si="0"/>
        <v/>
      </c>
      <c r="S13" s="63"/>
      <c r="T13" s="72" t="s">
        <v>51</v>
      </c>
      <c r="U13" s="109" t="str">
        <f>IF($J$1="June",Y12,"")</f>
        <v/>
      </c>
      <c r="V13" s="74"/>
      <c r="W13" s="109" t="str">
        <f t="shared" si="1"/>
        <v/>
      </c>
      <c r="X13" s="74"/>
      <c r="Y13" s="109" t="str">
        <f t="shared" si="2"/>
        <v/>
      </c>
      <c r="Z13" s="76"/>
    </row>
    <row r="14" spans="1:27" s="29" customFormat="1" ht="21" customHeight="1" x14ac:dyDescent="0.2">
      <c r="A14" s="30"/>
      <c r="B14" s="48" t="s">
        <v>7</v>
      </c>
      <c r="C14" s="39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F14" s="48" t="s">
        <v>67</v>
      </c>
      <c r="G14" s="43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7"/>
      <c r="I14" s="456" t="s">
        <v>71</v>
      </c>
      <c r="J14" s="457"/>
      <c r="K14" s="53">
        <f>K12+K13</f>
        <v>50000</v>
      </c>
      <c r="L14" s="54"/>
      <c r="M14" s="30"/>
      <c r="N14" s="71"/>
      <c r="O14" s="72" t="s">
        <v>52</v>
      </c>
      <c r="P14" s="72"/>
      <c r="Q14" s="72"/>
      <c r="R14" s="72" t="str">
        <f t="shared" si="0"/>
        <v/>
      </c>
      <c r="S14" s="63"/>
      <c r="T14" s="72" t="s">
        <v>52</v>
      </c>
      <c r="U14" s="109" t="str">
        <f>IF($J$1="July",Y13,"")</f>
        <v/>
      </c>
      <c r="V14" s="74"/>
      <c r="W14" s="109" t="str">
        <f t="shared" si="1"/>
        <v/>
      </c>
      <c r="X14" s="74"/>
      <c r="Y14" s="109" t="str">
        <f t="shared" si="2"/>
        <v/>
      </c>
      <c r="Z14" s="76"/>
    </row>
    <row r="15" spans="1:27" s="29" customFormat="1" ht="21" customHeight="1" x14ac:dyDescent="0.2">
      <c r="A15" s="30"/>
      <c r="B15" s="48" t="s">
        <v>6</v>
      </c>
      <c r="C15" s="39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F15" s="48" t="s">
        <v>23</v>
      </c>
      <c r="G15" s="43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7"/>
      <c r="I15" s="456" t="s">
        <v>72</v>
      </c>
      <c r="J15" s="457"/>
      <c r="K15" s="43">
        <f>G15</f>
        <v>0</v>
      </c>
      <c r="L15" s="55"/>
      <c r="M15" s="30"/>
      <c r="N15" s="71"/>
      <c r="O15" s="72" t="s">
        <v>53</v>
      </c>
      <c r="P15" s="72"/>
      <c r="Q15" s="72"/>
      <c r="R15" s="72" t="str">
        <f t="shared" si="0"/>
        <v/>
      </c>
      <c r="S15" s="63"/>
      <c r="T15" s="72" t="s">
        <v>53</v>
      </c>
      <c r="U15" s="109" t="str">
        <f>IF($J$1="August",Y14,"")</f>
        <v/>
      </c>
      <c r="V15" s="74"/>
      <c r="W15" s="109" t="str">
        <f t="shared" si="1"/>
        <v/>
      </c>
      <c r="X15" s="74"/>
      <c r="Y15" s="109" t="str">
        <f t="shared" si="2"/>
        <v/>
      </c>
      <c r="Z15" s="76"/>
    </row>
    <row r="16" spans="1:27" s="29" customFormat="1" ht="21" customHeight="1" x14ac:dyDescent="0.2">
      <c r="A16" s="30"/>
      <c r="B16" s="56" t="s">
        <v>70</v>
      </c>
      <c r="C16" s="39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F16" s="48" t="s">
        <v>69</v>
      </c>
      <c r="G16" s="43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I16" s="458" t="s">
        <v>65</v>
      </c>
      <c r="J16" s="459"/>
      <c r="K16" s="57">
        <v>50000</v>
      </c>
      <c r="L16" s="58"/>
      <c r="M16" s="30"/>
      <c r="N16" s="71"/>
      <c r="O16" s="72" t="s">
        <v>58</v>
      </c>
      <c r="P16" s="72"/>
      <c r="Q16" s="72"/>
      <c r="R16" s="72" t="str">
        <f t="shared" si="0"/>
        <v/>
      </c>
      <c r="S16" s="63"/>
      <c r="T16" s="72" t="s">
        <v>58</v>
      </c>
      <c r="U16" s="109" t="str">
        <f>IF($J$1="September",Y15,"")</f>
        <v/>
      </c>
      <c r="V16" s="74"/>
      <c r="W16" s="109" t="str">
        <f t="shared" si="1"/>
        <v/>
      </c>
      <c r="X16" s="74"/>
      <c r="Y16" s="109" t="str">
        <f t="shared" si="2"/>
        <v/>
      </c>
      <c r="Z16" s="76"/>
    </row>
    <row r="17" spans="1:27" s="29" customFormat="1" ht="21" customHeight="1" x14ac:dyDescent="0.2">
      <c r="A17" s="30"/>
      <c r="L17" s="46"/>
      <c r="M17" s="30"/>
      <c r="N17" s="71"/>
      <c r="O17" s="72" t="s">
        <v>54</v>
      </c>
      <c r="P17" s="72"/>
      <c r="Q17" s="72"/>
      <c r="R17" s="72" t="str">
        <f t="shared" si="0"/>
        <v/>
      </c>
      <c r="S17" s="63"/>
      <c r="T17" s="72" t="s">
        <v>54</v>
      </c>
      <c r="U17" s="109" t="str">
        <f>IF($J$1="October",Y16,"")</f>
        <v/>
      </c>
      <c r="V17" s="74"/>
      <c r="W17" s="109" t="str">
        <f t="shared" si="1"/>
        <v/>
      </c>
      <c r="X17" s="74"/>
      <c r="Y17" s="109" t="str">
        <f t="shared" si="2"/>
        <v/>
      </c>
      <c r="Z17" s="76"/>
    </row>
    <row r="18" spans="1:27" s="29" customFormat="1" ht="21" customHeight="1" x14ac:dyDescent="0.2">
      <c r="A18" s="30"/>
      <c r="B18" s="509"/>
      <c r="C18" s="509"/>
      <c r="D18" s="509"/>
      <c r="E18" s="509"/>
      <c r="F18" s="509"/>
      <c r="G18" s="509"/>
      <c r="H18" s="509"/>
      <c r="I18" s="509"/>
      <c r="J18" s="509"/>
      <c r="K18" s="509"/>
      <c r="L18" s="46"/>
      <c r="M18" s="30"/>
      <c r="N18" s="71"/>
      <c r="O18" s="72" t="s">
        <v>59</v>
      </c>
      <c r="P18" s="72"/>
      <c r="Q18" s="72"/>
      <c r="R18" s="72" t="str">
        <f t="shared" si="0"/>
        <v/>
      </c>
      <c r="S18" s="63"/>
      <c r="T18" s="72" t="s">
        <v>59</v>
      </c>
      <c r="U18" s="109" t="str">
        <f>IF($J$1="November",Y17,"")</f>
        <v/>
      </c>
      <c r="V18" s="74"/>
      <c r="W18" s="109" t="str">
        <f t="shared" si="1"/>
        <v/>
      </c>
      <c r="X18" s="74"/>
      <c r="Y18" s="109" t="str">
        <f t="shared" si="2"/>
        <v/>
      </c>
      <c r="Z18" s="76"/>
    </row>
    <row r="19" spans="1:27" s="29" customFormat="1" ht="21" customHeight="1" x14ac:dyDescent="0.2">
      <c r="A19" s="30"/>
      <c r="G19" s="44" t="s">
        <v>95</v>
      </c>
      <c r="L19" s="46"/>
      <c r="M19" s="30"/>
      <c r="N19" s="71"/>
      <c r="O19" s="72" t="s">
        <v>60</v>
      </c>
      <c r="P19" s="72"/>
      <c r="Q19" s="72"/>
      <c r="R19" s="72" t="str">
        <f t="shared" si="0"/>
        <v/>
      </c>
      <c r="S19" s="63"/>
      <c r="T19" s="72" t="s">
        <v>60</v>
      </c>
      <c r="U19" s="109" t="str">
        <f>IF($J$1="December",Y18,"")</f>
        <v/>
      </c>
      <c r="V19" s="74"/>
      <c r="W19" s="109" t="str">
        <f t="shared" si="1"/>
        <v/>
      </c>
      <c r="X19" s="74"/>
      <c r="Y19" s="109" t="str">
        <f t="shared" si="2"/>
        <v/>
      </c>
      <c r="Z19" s="76"/>
    </row>
    <row r="20" spans="1:27" s="29" customFormat="1" ht="21" customHeight="1" thickBot="1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1"/>
      <c r="M20" s="59"/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9"/>
      <c r="Z20" s="79"/>
    </row>
    <row r="21" spans="1:27" s="29" customFormat="1" ht="21" customHeight="1" thickBot="1" x14ac:dyDescent="0.25"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7" s="29" customFormat="1" ht="21" customHeight="1" x14ac:dyDescent="0.2">
      <c r="A22" s="474" t="s">
        <v>42</v>
      </c>
      <c r="B22" s="475"/>
      <c r="C22" s="475"/>
      <c r="D22" s="475"/>
      <c r="E22" s="475"/>
      <c r="F22" s="475"/>
      <c r="G22" s="475"/>
      <c r="H22" s="475"/>
      <c r="I22" s="475"/>
      <c r="J22" s="475"/>
      <c r="K22" s="475"/>
      <c r="L22" s="476"/>
      <c r="M22" s="28"/>
      <c r="N22" s="64"/>
      <c r="O22" s="469" t="s">
        <v>44</v>
      </c>
      <c r="P22" s="470"/>
      <c r="Q22" s="470"/>
      <c r="R22" s="471"/>
      <c r="S22" s="65"/>
      <c r="T22" s="469" t="s">
        <v>45</v>
      </c>
      <c r="U22" s="470"/>
      <c r="V22" s="470"/>
      <c r="W22" s="470"/>
      <c r="X22" s="470"/>
      <c r="Y22" s="471"/>
      <c r="Z22" s="66"/>
      <c r="AA22" s="28"/>
    </row>
    <row r="23" spans="1:27" s="29" customFormat="1" ht="21" customHeight="1" x14ac:dyDescent="0.2">
      <c r="A23" s="30"/>
      <c r="C23" s="466" t="s">
        <v>92</v>
      </c>
      <c r="D23" s="466"/>
      <c r="E23" s="466"/>
      <c r="F23" s="466"/>
      <c r="G23" s="31" t="str">
        <f>$J$1</f>
        <v>October</v>
      </c>
      <c r="H23" s="467">
        <f>$K$1</f>
        <v>2022</v>
      </c>
      <c r="I23" s="467"/>
      <c r="K23" s="32"/>
      <c r="L23" s="33"/>
      <c r="M23" s="32"/>
      <c r="N23" s="67"/>
      <c r="O23" s="68" t="s">
        <v>55</v>
      </c>
      <c r="P23" s="68" t="s">
        <v>7</v>
      </c>
      <c r="Q23" s="68" t="s">
        <v>6</v>
      </c>
      <c r="R23" s="68" t="s">
        <v>56</v>
      </c>
      <c r="S23" s="69"/>
      <c r="T23" s="68" t="s">
        <v>55</v>
      </c>
      <c r="U23" s="68" t="s">
        <v>57</v>
      </c>
      <c r="V23" s="68" t="s">
        <v>22</v>
      </c>
      <c r="W23" s="68" t="s">
        <v>21</v>
      </c>
      <c r="X23" s="68" t="s">
        <v>23</v>
      </c>
      <c r="Y23" s="68" t="s">
        <v>61</v>
      </c>
      <c r="Z23" s="70"/>
      <c r="AA23" s="32"/>
    </row>
    <row r="24" spans="1:27" s="29" customFormat="1" ht="21" customHeight="1" x14ac:dyDescent="0.2">
      <c r="A24" s="30"/>
      <c r="D24" s="35"/>
      <c r="E24" s="35"/>
      <c r="F24" s="35"/>
      <c r="G24" s="35"/>
      <c r="H24" s="35"/>
      <c r="J24" s="36" t="s">
        <v>1</v>
      </c>
      <c r="K24" s="37">
        <v>50000</v>
      </c>
      <c r="L24" s="38"/>
      <c r="N24" s="71"/>
      <c r="O24" s="72" t="s">
        <v>47</v>
      </c>
      <c r="P24" s="72"/>
      <c r="Q24" s="72"/>
      <c r="R24" s="72"/>
      <c r="S24" s="73"/>
      <c r="T24" s="72" t="s">
        <v>47</v>
      </c>
      <c r="U24" s="74"/>
      <c r="V24" s="74"/>
      <c r="W24" s="74">
        <f>V24+U24</f>
        <v>0</v>
      </c>
      <c r="X24" s="74"/>
      <c r="Y24" s="74">
        <f>W24-X24</f>
        <v>0</v>
      </c>
      <c r="Z24" s="70"/>
    </row>
    <row r="25" spans="1:27" s="29" customFormat="1" ht="21" customHeight="1" x14ac:dyDescent="0.2">
      <c r="A25" s="30"/>
      <c r="B25" s="29" t="s">
        <v>0</v>
      </c>
      <c r="C25" s="40" t="s">
        <v>75</v>
      </c>
      <c r="H25" s="41"/>
      <c r="I25" s="35"/>
      <c r="L25" s="42"/>
      <c r="M25" s="28"/>
      <c r="N25" s="75"/>
      <c r="O25" s="72" t="s">
        <v>73</v>
      </c>
      <c r="P25" s="72"/>
      <c r="Q25" s="72"/>
      <c r="R25" s="72" t="str">
        <f t="shared" ref="R25:R35" si="3">IF(Q25="","",R24-Q25)</f>
        <v/>
      </c>
      <c r="S25" s="63"/>
      <c r="T25" s="72" t="s">
        <v>73</v>
      </c>
      <c r="U25" s="109" t="str">
        <f>IF($J$1="February",Y24,"")</f>
        <v/>
      </c>
      <c r="V25" s="74"/>
      <c r="W25" s="109" t="str">
        <f>IF(U25="","",U25+V25)</f>
        <v/>
      </c>
      <c r="X25" s="74"/>
      <c r="Y25" s="109" t="str">
        <f>IF(W25="","",W25-X25)</f>
        <v/>
      </c>
      <c r="Z25" s="76"/>
      <c r="AA25" s="28"/>
    </row>
    <row r="26" spans="1:27" s="29" customFormat="1" ht="21" customHeight="1" x14ac:dyDescent="0.2">
      <c r="A26" s="30"/>
      <c r="B26" s="44" t="s">
        <v>43</v>
      </c>
      <c r="C26" s="45"/>
      <c r="F26" s="468" t="s">
        <v>45</v>
      </c>
      <c r="G26" s="468"/>
      <c r="I26" s="468" t="s">
        <v>46</v>
      </c>
      <c r="J26" s="468"/>
      <c r="K26" s="468"/>
      <c r="L26" s="46"/>
      <c r="N26" s="71"/>
      <c r="O26" s="72" t="s">
        <v>48</v>
      </c>
      <c r="P26" s="72"/>
      <c r="Q26" s="72"/>
      <c r="R26" s="72" t="str">
        <f t="shared" si="3"/>
        <v/>
      </c>
      <c r="S26" s="63"/>
      <c r="T26" s="72" t="s">
        <v>48</v>
      </c>
      <c r="U26" s="109" t="str">
        <f>IF($J$1="March",Y25,"")</f>
        <v/>
      </c>
      <c r="V26" s="74"/>
      <c r="W26" s="109" t="str">
        <f t="shared" ref="W26:W35" si="4">IF(U26="","",U26+V26)</f>
        <v/>
      </c>
      <c r="X26" s="74"/>
      <c r="Y26" s="109" t="str">
        <f t="shared" ref="Y26:Y35" si="5">IF(W26="","",W26-X26)</f>
        <v/>
      </c>
      <c r="Z26" s="76"/>
    </row>
    <row r="27" spans="1:27" s="29" customFormat="1" ht="21" customHeight="1" x14ac:dyDescent="0.2">
      <c r="A27" s="30"/>
      <c r="H27" s="47"/>
      <c r="L27" s="34"/>
      <c r="N27" s="71"/>
      <c r="O27" s="72" t="s">
        <v>49</v>
      </c>
      <c r="P27" s="72"/>
      <c r="Q27" s="72"/>
      <c r="R27" s="72" t="str">
        <f t="shared" si="3"/>
        <v/>
      </c>
      <c r="S27" s="63"/>
      <c r="T27" s="72" t="s">
        <v>49</v>
      </c>
      <c r="U27" s="109" t="str">
        <f>IF($J$1="April",Y26,"")</f>
        <v/>
      </c>
      <c r="V27" s="74"/>
      <c r="W27" s="109" t="str">
        <f t="shared" si="4"/>
        <v/>
      </c>
      <c r="X27" s="74"/>
      <c r="Y27" s="109" t="str">
        <f t="shared" si="5"/>
        <v/>
      </c>
      <c r="Z27" s="76"/>
    </row>
    <row r="28" spans="1:27" s="29" customFormat="1" ht="21" customHeight="1" x14ac:dyDescent="0.2">
      <c r="A28" s="30"/>
      <c r="B28" s="472" t="s">
        <v>44</v>
      </c>
      <c r="C28" s="473"/>
      <c r="F28" s="48" t="s">
        <v>66</v>
      </c>
      <c r="G28" s="43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7"/>
      <c r="I28" s="49">
        <f>IF(C32&gt;=C31,$K$2,C30-C31+C32)</f>
        <v>31</v>
      </c>
      <c r="J28" s="50" t="s">
        <v>63</v>
      </c>
      <c r="K28" s="51">
        <f>K24/$K$2*I28</f>
        <v>50000</v>
      </c>
      <c r="L28" s="52"/>
      <c r="N28" s="71"/>
      <c r="O28" s="72" t="s">
        <v>50</v>
      </c>
      <c r="P28" s="72"/>
      <c r="Q28" s="72"/>
      <c r="R28" s="72" t="str">
        <f t="shared" si="3"/>
        <v/>
      </c>
      <c r="S28" s="63"/>
      <c r="T28" s="72" t="s">
        <v>50</v>
      </c>
      <c r="U28" s="109" t="str">
        <f>IF($J$1="May",Y27,"")</f>
        <v/>
      </c>
      <c r="V28" s="74"/>
      <c r="W28" s="109" t="str">
        <f t="shared" si="4"/>
        <v/>
      </c>
      <c r="X28" s="74"/>
      <c r="Y28" s="109" t="str">
        <f t="shared" si="5"/>
        <v/>
      </c>
      <c r="Z28" s="76"/>
    </row>
    <row r="29" spans="1:27" s="29" customFormat="1" ht="21" customHeight="1" x14ac:dyDescent="0.2">
      <c r="A29" s="30"/>
      <c r="B29" s="39"/>
      <c r="C29" s="39"/>
      <c r="F29" s="48" t="s">
        <v>22</v>
      </c>
      <c r="G29" s="4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7"/>
      <c r="I29" s="49"/>
      <c r="J29" s="50" t="s">
        <v>64</v>
      </c>
      <c r="K29" s="53">
        <f>K24/$K$2/8*I29</f>
        <v>0</v>
      </c>
      <c r="L29" s="54"/>
      <c r="N29" s="71"/>
      <c r="O29" s="72" t="s">
        <v>51</v>
      </c>
      <c r="P29" s="72"/>
      <c r="Q29" s="72"/>
      <c r="R29" s="72" t="str">
        <f t="shared" si="3"/>
        <v/>
      </c>
      <c r="S29" s="63"/>
      <c r="T29" s="72" t="s">
        <v>51</v>
      </c>
      <c r="U29" s="109" t="str">
        <f>IF($J$1="June",Y28,"")</f>
        <v/>
      </c>
      <c r="V29" s="74"/>
      <c r="W29" s="109" t="str">
        <f t="shared" si="4"/>
        <v/>
      </c>
      <c r="X29" s="74"/>
      <c r="Y29" s="109" t="str">
        <f t="shared" si="5"/>
        <v/>
      </c>
      <c r="Z29" s="76"/>
    </row>
    <row r="30" spans="1:27" s="29" customFormat="1" ht="21" customHeight="1" x14ac:dyDescent="0.2">
      <c r="A30" s="30"/>
      <c r="B30" s="48" t="s">
        <v>7</v>
      </c>
      <c r="C30" s="39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F30" s="48" t="s">
        <v>67</v>
      </c>
      <c r="G30" s="43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7"/>
      <c r="I30" s="456" t="s">
        <v>71</v>
      </c>
      <c r="J30" s="457"/>
      <c r="K30" s="53">
        <f>K28+K29</f>
        <v>50000</v>
      </c>
      <c r="L30" s="54"/>
      <c r="N30" s="71"/>
      <c r="O30" s="72" t="s">
        <v>52</v>
      </c>
      <c r="P30" s="72"/>
      <c r="Q30" s="72"/>
      <c r="R30" s="72" t="str">
        <f t="shared" si="3"/>
        <v/>
      </c>
      <c r="S30" s="63"/>
      <c r="T30" s="72" t="s">
        <v>52</v>
      </c>
      <c r="U30" s="109" t="str">
        <f>IF($J$1="July",Y29,"")</f>
        <v/>
      </c>
      <c r="V30" s="74"/>
      <c r="W30" s="109" t="str">
        <f t="shared" si="4"/>
        <v/>
      </c>
      <c r="X30" s="74"/>
      <c r="Y30" s="109" t="str">
        <f t="shared" si="5"/>
        <v/>
      </c>
      <c r="Z30" s="76"/>
    </row>
    <row r="31" spans="1:27" s="29" customFormat="1" ht="21" customHeight="1" x14ac:dyDescent="0.2">
      <c r="A31" s="30"/>
      <c r="B31" s="48" t="s">
        <v>6</v>
      </c>
      <c r="C31" s="39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F31" s="48" t="s">
        <v>23</v>
      </c>
      <c r="G31" s="4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7"/>
      <c r="I31" s="456" t="s">
        <v>72</v>
      </c>
      <c r="J31" s="457"/>
      <c r="K31" s="43">
        <f>G31</f>
        <v>0</v>
      </c>
      <c r="L31" s="55"/>
      <c r="N31" s="71"/>
      <c r="O31" s="72" t="s">
        <v>53</v>
      </c>
      <c r="P31" s="72"/>
      <c r="Q31" s="72"/>
      <c r="R31" s="72" t="str">
        <f t="shared" si="3"/>
        <v/>
      </c>
      <c r="S31" s="63"/>
      <c r="T31" s="72" t="s">
        <v>53</v>
      </c>
      <c r="U31" s="109" t="str">
        <f>IF($J$1="August",Y30,"")</f>
        <v/>
      </c>
      <c r="V31" s="74"/>
      <c r="W31" s="109" t="str">
        <f t="shared" si="4"/>
        <v/>
      </c>
      <c r="X31" s="74"/>
      <c r="Y31" s="109" t="str">
        <f t="shared" si="5"/>
        <v/>
      </c>
      <c r="Z31" s="76"/>
    </row>
    <row r="32" spans="1:27" s="29" customFormat="1" ht="21" customHeight="1" x14ac:dyDescent="0.2">
      <c r="A32" s="30"/>
      <c r="B32" s="56" t="s">
        <v>70</v>
      </c>
      <c r="C32" s="39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F32" s="48" t="s">
        <v>69</v>
      </c>
      <c r="G32" s="43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I32" s="458" t="s">
        <v>65</v>
      </c>
      <c r="J32" s="459"/>
      <c r="K32" s="57">
        <v>50000</v>
      </c>
      <c r="L32" s="58"/>
      <c r="N32" s="71"/>
      <c r="O32" s="72" t="s">
        <v>58</v>
      </c>
      <c r="P32" s="72"/>
      <c r="Q32" s="72"/>
      <c r="R32" s="72" t="str">
        <f t="shared" si="3"/>
        <v/>
      </c>
      <c r="S32" s="63"/>
      <c r="T32" s="72" t="s">
        <v>58</v>
      </c>
      <c r="U32" s="109" t="str">
        <f>IF($J$1="September",Y31,"")</f>
        <v/>
      </c>
      <c r="V32" s="74"/>
      <c r="W32" s="109" t="str">
        <f t="shared" si="4"/>
        <v/>
      </c>
      <c r="X32" s="74"/>
      <c r="Y32" s="109" t="str">
        <f t="shared" si="5"/>
        <v/>
      </c>
      <c r="Z32" s="76"/>
    </row>
    <row r="33" spans="1:27" s="29" customFormat="1" ht="21" customHeight="1" x14ac:dyDescent="0.2">
      <c r="A33" s="30"/>
      <c r="L33" s="46"/>
      <c r="N33" s="71"/>
      <c r="O33" s="72" t="s">
        <v>54</v>
      </c>
      <c r="P33" s="72"/>
      <c r="Q33" s="72"/>
      <c r="R33" s="72" t="str">
        <f t="shared" si="3"/>
        <v/>
      </c>
      <c r="S33" s="63"/>
      <c r="T33" s="72" t="s">
        <v>54</v>
      </c>
      <c r="U33" s="109" t="str">
        <f>IF($J$1="October",Y32,"")</f>
        <v/>
      </c>
      <c r="V33" s="74"/>
      <c r="W33" s="109" t="str">
        <f t="shared" si="4"/>
        <v/>
      </c>
      <c r="X33" s="74"/>
      <c r="Y33" s="109" t="str">
        <f t="shared" si="5"/>
        <v/>
      </c>
      <c r="Z33" s="76"/>
    </row>
    <row r="34" spans="1:27" s="29" customFormat="1" ht="21" customHeight="1" x14ac:dyDescent="0.2">
      <c r="A34" s="30"/>
      <c r="L34" s="46"/>
      <c r="N34" s="71"/>
      <c r="O34" s="72" t="s">
        <v>59</v>
      </c>
      <c r="P34" s="72"/>
      <c r="Q34" s="72"/>
      <c r="R34" s="72" t="str">
        <f t="shared" si="3"/>
        <v/>
      </c>
      <c r="S34" s="63"/>
      <c r="T34" s="72" t="s">
        <v>59</v>
      </c>
      <c r="U34" s="109" t="str">
        <f>IF($J$1="November",Y33,"")</f>
        <v/>
      </c>
      <c r="V34" s="74"/>
      <c r="W34" s="109" t="str">
        <f t="shared" si="4"/>
        <v/>
      </c>
      <c r="X34" s="74"/>
      <c r="Y34" s="109" t="str">
        <f t="shared" si="5"/>
        <v/>
      </c>
      <c r="Z34" s="76"/>
    </row>
    <row r="35" spans="1:27" s="29" customFormat="1" ht="21" customHeight="1" x14ac:dyDescent="0.2">
      <c r="A35" s="30"/>
      <c r="L35" s="46"/>
      <c r="N35" s="71"/>
      <c r="O35" s="72" t="s">
        <v>60</v>
      </c>
      <c r="P35" s="72"/>
      <c r="Q35" s="72"/>
      <c r="R35" s="72" t="str">
        <f t="shared" si="3"/>
        <v/>
      </c>
      <c r="S35" s="63"/>
      <c r="T35" s="72" t="s">
        <v>60</v>
      </c>
      <c r="U35" s="109" t="str">
        <f>IF($J$1="December",Y34,"")</f>
        <v/>
      </c>
      <c r="V35" s="74"/>
      <c r="W35" s="109" t="str">
        <f t="shared" si="4"/>
        <v/>
      </c>
      <c r="X35" s="74"/>
      <c r="Y35" s="109" t="str">
        <f t="shared" si="5"/>
        <v/>
      </c>
      <c r="Z35" s="76"/>
    </row>
    <row r="36" spans="1:27" s="29" customFormat="1" ht="21" customHeight="1" thickBot="1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1"/>
      <c r="N36" s="77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9"/>
    </row>
    <row r="37" spans="1:27" s="29" customFormat="1" ht="21" customHeight="1" thickBot="1" x14ac:dyDescent="0.25"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7" s="29" customFormat="1" ht="21" customHeight="1" x14ac:dyDescent="0.2">
      <c r="A38" s="474" t="s">
        <v>42</v>
      </c>
      <c r="B38" s="475"/>
      <c r="C38" s="475"/>
      <c r="D38" s="475"/>
      <c r="E38" s="475"/>
      <c r="F38" s="475"/>
      <c r="G38" s="475"/>
      <c r="H38" s="475"/>
      <c r="I38" s="475"/>
      <c r="J38" s="475"/>
      <c r="K38" s="475"/>
      <c r="L38" s="476"/>
      <c r="M38" s="28"/>
      <c r="N38" s="64"/>
      <c r="O38" s="469" t="s">
        <v>44</v>
      </c>
      <c r="P38" s="470"/>
      <c r="Q38" s="470"/>
      <c r="R38" s="471"/>
      <c r="S38" s="65"/>
      <c r="T38" s="469" t="s">
        <v>45</v>
      </c>
      <c r="U38" s="470"/>
      <c r="V38" s="470"/>
      <c r="W38" s="470"/>
      <c r="X38" s="470"/>
      <c r="Y38" s="471"/>
      <c r="Z38" s="66"/>
      <c r="AA38" s="28"/>
    </row>
    <row r="39" spans="1:27" s="29" customFormat="1" ht="21" customHeight="1" x14ac:dyDescent="0.2">
      <c r="A39" s="30"/>
      <c r="C39" s="466" t="s">
        <v>92</v>
      </c>
      <c r="D39" s="466"/>
      <c r="E39" s="466"/>
      <c r="F39" s="466"/>
      <c r="G39" s="31" t="str">
        <f>$J$1</f>
        <v>October</v>
      </c>
      <c r="H39" s="467">
        <f>$K$1</f>
        <v>2022</v>
      </c>
      <c r="I39" s="467"/>
      <c r="K39" s="32"/>
      <c r="L39" s="33"/>
      <c r="M39" s="32"/>
      <c r="N39" s="67"/>
      <c r="O39" s="68" t="s">
        <v>55</v>
      </c>
      <c r="P39" s="68" t="s">
        <v>7</v>
      </c>
      <c r="Q39" s="68" t="s">
        <v>6</v>
      </c>
      <c r="R39" s="68" t="s">
        <v>56</v>
      </c>
      <c r="S39" s="69"/>
      <c r="T39" s="68" t="s">
        <v>55</v>
      </c>
      <c r="U39" s="68" t="s">
        <v>57</v>
      </c>
      <c r="V39" s="68" t="s">
        <v>22</v>
      </c>
      <c r="W39" s="68" t="s">
        <v>21</v>
      </c>
      <c r="X39" s="68" t="s">
        <v>23</v>
      </c>
      <c r="Y39" s="68" t="s">
        <v>61</v>
      </c>
      <c r="Z39" s="70"/>
      <c r="AA39" s="32"/>
    </row>
    <row r="40" spans="1:27" s="29" customFormat="1" ht="21" customHeight="1" x14ac:dyDescent="0.2">
      <c r="A40" s="30"/>
      <c r="D40" s="35"/>
      <c r="E40" s="35"/>
      <c r="F40" s="35"/>
      <c r="G40" s="35"/>
      <c r="H40" s="35"/>
      <c r="J40" s="36" t="s">
        <v>1</v>
      </c>
      <c r="K40" s="37">
        <v>55000</v>
      </c>
      <c r="L40" s="38"/>
      <c r="N40" s="71"/>
      <c r="O40" s="72" t="s">
        <v>47</v>
      </c>
      <c r="P40" s="72">
        <v>29</v>
      </c>
      <c r="Q40" s="72">
        <v>2</v>
      </c>
      <c r="R40" s="72">
        <f>15-Q40</f>
        <v>13</v>
      </c>
      <c r="S40" s="73"/>
      <c r="T40" s="72" t="s">
        <v>47</v>
      </c>
      <c r="U40" s="74"/>
      <c r="V40" s="74"/>
      <c r="W40" s="74">
        <f>V40+U40</f>
        <v>0</v>
      </c>
      <c r="X40" s="74"/>
      <c r="Y40" s="74">
        <f>W40-X40</f>
        <v>0</v>
      </c>
      <c r="Z40" s="70"/>
    </row>
    <row r="41" spans="1:27" s="29" customFormat="1" ht="21" customHeight="1" x14ac:dyDescent="0.2">
      <c r="A41" s="30"/>
      <c r="B41" s="29" t="s">
        <v>0</v>
      </c>
      <c r="C41" s="40" t="s">
        <v>78</v>
      </c>
      <c r="H41" s="41"/>
      <c r="I41" s="35"/>
      <c r="L41" s="42"/>
      <c r="M41" s="28"/>
      <c r="N41" s="75"/>
      <c r="O41" s="72" t="s">
        <v>73</v>
      </c>
      <c r="P41" s="72">
        <v>27</v>
      </c>
      <c r="Q41" s="72">
        <v>1</v>
      </c>
      <c r="R41" s="72">
        <f t="shared" ref="R41:R51" si="6">IF(Q41="","",R40-Q41)</f>
        <v>12</v>
      </c>
      <c r="S41" s="63"/>
      <c r="T41" s="72" t="s">
        <v>73</v>
      </c>
      <c r="U41" s="109" t="str">
        <f>IF($J$1="February",Y40,"")</f>
        <v/>
      </c>
      <c r="V41" s="74"/>
      <c r="W41" s="109" t="str">
        <f>IF(U41="","",U41+V41)</f>
        <v/>
      </c>
      <c r="X41" s="74"/>
      <c r="Y41" s="109" t="str">
        <f>IF(W41="","",W41-X41)</f>
        <v/>
      </c>
      <c r="Z41" s="76"/>
      <c r="AA41" s="28"/>
    </row>
    <row r="42" spans="1:27" s="29" customFormat="1" ht="21" customHeight="1" x14ac:dyDescent="0.2">
      <c r="A42" s="30"/>
      <c r="B42" s="44" t="s">
        <v>43</v>
      </c>
      <c r="C42" s="45"/>
      <c r="F42" s="468" t="s">
        <v>45</v>
      </c>
      <c r="G42" s="468"/>
      <c r="I42" s="468" t="s">
        <v>46</v>
      </c>
      <c r="J42" s="468"/>
      <c r="K42" s="468"/>
      <c r="L42" s="46"/>
      <c r="N42" s="71"/>
      <c r="O42" s="72" t="s">
        <v>48</v>
      </c>
      <c r="P42" s="72">
        <v>31</v>
      </c>
      <c r="Q42" s="72">
        <v>0</v>
      </c>
      <c r="R42" s="72">
        <f t="shared" si="6"/>
        <v>12</v>
      </c>
      <c r="S42" s="63"/>
      <c r="T42" s="72" t="s">
        <v>48</v>
      </c>
      <c r="U42" s="109" t="str">
        <f>IF($J$1="March",Y41,"")</f>
        <v/>
      </c>
      <c r="V42" s="74"/>
      <c r="W42" s="109" t="str">
        <f t="shared" ref="W42:W51" si="7">IF(U42="","",U42+V42)</f>
        <v/>
      </c>
      <c r="X42" s="74"/>
      <c r="Y42" s="109" t="str">
        <f t="shared" ref="Y42:Y51" si="8">IF(W42="","",W42-X42)</f>
        <v/>
      </c>
      <c r="Z42" s="76"/>
    </row>
    <row r="43" spans="1:27" s="29" customFormat="1" ht="21" customHeight="1" x14ac:dyDescent="0.2">
      <c r="A43" s="30"/>
      <c r="H43" s="47"/>
      <c r="L43" s="34"/>
      <c r="N43" s="71"/>
      <c r="O43" s="72" t="s">
        <v>49</v>
      </c>
      <c r="P43" s="72">
        <v>30</v>
      </c>
      <c r="Q43" s="72">
        <v>0</v>
      </c>
      <c r="R43" s="72">
        <f t="shared" si="6"/>
        <v>12</v>
      </c>
      <c r="S43" s="63"/>
      <c r="T43" s="72" t="s">
        <v>49</v>
      </c>
      <c r="U43" s="109" t="str">
        <f>IF($J$1="April",Y42,"")</f>
        <v/>
      </c>
      <c r="V43" s="74"/>
      <c r="W43" s="109" t="str">
        <f t="shared" si="7"/>
        <v/>
      </c>
      <c r="X43" s="74"/>
      <c r="Y43" s="109" t="str">
        <f t="shared" si="8"/>
        <v/>
      </c>
      <c r="Z43" s="76"/>
    </row>
    <row r="44" spans="1:27" s="29" customFormat="1" ht="21" customHeight="1" x14ac:dyDescent="0.2">
      <c r="A44" s="30"/>
      <c r="B44" s="472" t="s">
        <v>44</v>
      </c>
      <c r="C44" s="473"/>
      <c r="F44" s="48" t="s">
        <v>66</v>
      </c>
      <c r="G44" s="43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7"/>
      <c r="I44" s="49">
        <f>K2</f>
        <v>31</v>
      </c>
      <c r="J44" s="50" t="s">
        <v>63</v>
      </c>
      <c r="K44" s="51">
        <f>K40/$K$2*I44</f>
        <v>55000</v>
      </c>
      <c r="L44" s="52"/>
      <c r="N44" s="71"/>
      <c r="O44" s="72" t="s">
        <v>50</v>
      </c>
      <c r="P44" s="72">
        <v>31</v>
      </c>
      <c r="Q44" s="72">
        <v>0</v>
      </c>
      <c r="R44" s="72">
        <f t="shared" si="6"/>
        <v>12</v>
      </c>
      <c r="S44" s="63"/>
      <c r="T44" s="72" t="s">
        <v>50</v>
      </c>
      <c r="U44" s="109" t="str">
        <f>IF($J$1="May",Y43,"")</f>
        <v/>
      </c>
      <c r="V44" s="74"/>
      <c r="W44" s="109" t="str">
        <f t="shared" si="7"/>
        <v/>
      </c>
      <c r="X44" s="74"/>
      <c r="Y44" s="109" t="str">
        <f t="shared" si="8"/>
        <v/>
      </c>
      <c r="Z44" s="76"/>
    </row>
    <row r="45" spans="1:27" s="29" customFormat="1" ht="21" customHeight="1" x14ac:dyDescent="0.2">
      <c r="A45" s="30"/>
      <c r="B45" s="39"/>
      <c r="C45" s="39"/>
      <c r="F45" s="48" t="s">
        <v>22</v>
      </c>
      <c r="G45" s="43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7"/>
      <c r="I45" s="49"/>
      <c r="J45" s="50" t="s">
        <v>64</v>
      </c>
      <c r="K45" s="53">
        <f>K40/$K$2/8*I45</f>
        <v>0</v>
      </c>
      <c r="L45" s="54"/>
      <c r="N45" s="71"/>
      <c r="O45" s="72" t="s">
        <v>51</v>
      </c>
      <c r="P45" s="72">
        <v>29</v>
      </c>
      <c r="Q45" s="72">
        <v>1</v>
      </c>
      <c r="R45" s="72">
        <f t="shared" si="6"/>
        <v>11</v>
      </c>
      <c r="S45" s="63"/>
      <c r="T45" s="72" t="s">
        <v>51</v>
      </c>
      <c r="U45" s="109" t="str">
        <f>IF($J$1="June",Y44,"")</f>
        <v/>
      </c>
      <c r="V45" s="74"/>
      <c r="W45" s="109" t="str">
        <f t="shared" si="7"/>
        <v/>
      </c>
      <c r="X45" s="74"/>
      <c r="Y45" s="109" t="str">
        <f t="shared" si="8"/>
        <v/>
      </c>
      <c r="Z45" s="76"/>
    </row>
    <row r="46" spans="1:27" s="29" customFormat="1" ht="21" customHeight="1" x14ac:dyDescent="0.2">
      <c r="A46" s="30"/>
      <c r="B46" s="48" t="s">
        <v>7</v>
      </c>
      <c r="C46" s="39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F46" s="48" t="s">
        <v>67</v>
      </c>
      <c r="G46" s="43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7"/>
      <c r="I46" s="456" t="s">
        <v>71</v>
      </c>
      <c r="J46" s="457"/>
      <c r="K46" s="53">
        <f>K44+K45</f>
        <v>55000</v>
      </c>
      <c r="L46" s="54"/>
      <c r="N46" s="71"/>
      <c r="O46" s="72" t="s">
        <v>52</v>
      </c>
      <c r="P46" s="72">
        <v>20</v>
      </c>
      <c r="Q46" s="72">
        <v>11</v>
      </c>
      <c r="R46" s="72">
        <f t="shared" si="6"/>
        <v>0</v>
      </c>
      <c r="S46" s="63"/>
      <c r="T46" s="72" t="s">
        <v>52</v>
      </c>
      <c r="U46" s="109" t="str">
        <f>IF($J$1="July",Y45,"")</f>
        <v/>
      </c>
      <c r="V46" s="74"/>
      <c r="W46" s="109" t="str">
        <f t="shared" si="7"/>
        <v/>
      </c>
      <c r="X46" s="74"/>
      <c r="Y46" s="109" t="str">
        <f t="shared" si="8"/>
        <v/>
      </c>
      <c r="Z46" s="76"/>
    </row>
    <row r="47" spans="1:27" s="29" customFormat="1" ht="21" customHeight="1" x14ac:dyDescent="0.2">
      <c r="A47" s="30"/>
      <c r="B47" s="48" t="s">
        <v>6</v>
      </c>
      <c r="C47" s="39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F47" s="48" t="s">
        <v>23</v>
      </c>
      <c r="G47" s="43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7"/>
      <c r="I47" s="456" t="s">
        <v>72</v>
      </c>
      <c r="J47" s="457"/>
      <c r="K47" s="43">
        <f>G47</f>
        <v>0</v>
      </c>
      <c r="L47" s="55"/>
      <c r="N47" s="71"/>
      <c r="O47" s="72" t="s">
        <v>53</v>
      </c>
      <c r="P47" s="72">
        <v>30</v>
      </c>
      <c r="Q47" s="72">
        <v>1</v>
      </c>
      <c r="R47" s="72">
        <v>0</v>
      </c>
      <c r="S47" s="63"/>
      <c r="T47" s="72" t="s">
        <v>53</v>
      </c>
      <c r="U47" s="109" t="str">
        <f>IF($J$1="August",Y46,"")</f>
        <v/>
      </c>
      <c r="V47" s="74"/>
      <c r="W47" s="109" t="str">
        <f t="shared" si="7"/>
        <v/>
      </c>
      <c r="X47" s="74"/>
      <c r="Y47" s="109" t="str">
        <f t="shared" si="8"/>
        <v/>
      </c>
      <c r="Z47" s="76"/>
    </row>
    <row r="48" spans="1:27" s="29" customFormat="1" ht="21" customHeight="1" x14ac:dyDescent="0.2">
      <c r="A48" s="30"/>
      <c r="B48" s="56" t="s">
        <v>70</v>
      </c>
      <c r="C48" s="39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F48" s="48" t="s">
        <v>69</v>
      </c>
      <c r="G48" s="43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I48" s="458" t="s">
        <v>65</v>
      </c>
      <c r="J48" s="459"/>
      <c r="K48" s="57">
        <f>K46-K47</f>
        <v>55000</v>
      </c>
      <c r="L48" s="58"/>
      <c r="N48" s="71"/>
      <c r="O48" s="72" t="s">
        <v>58</v>
      </c>
      <c r="P48" s="72">
        <v>28</v>
      </c>
      <c r="Q48" s="72">
        <v>2</v>
      </c>
      <c r="R48" s="72">
        <v>0</v>
      </c>
      <c r="S48" s="63"/>
      <c r="T48" s="72" t="s">
        <v>58</v>
      </c>
      <c r="U48" s="109" t="str">
        <f>IF($J$1="September",Y47,"")</f>
        <v/>
      </c>
      <c r="V48" s="74"/>
      <c r="W48" s="109" t="str">
        <f t="shared" si="7"/>
        <v/>
      </c>
      <c r="X48" s="74"/>
      <c r="Y48" s="109" t="str">
        <f t="shared" si="8"/>
        <v/>
      </c>
      <c r="Z48" s="76"/>
    </row>
    <row r="49" spans="1:27" s="29" customFormat="1" ht="21" customHeight="1" x14ac:dyDescent="0.2">
      <c r="A49" s="30"/>
      <c r="L49" s="46"/>
      <c r="N49" s="71"/>
      <c r="O49" s="72" t="s">
        <v>54</v>
      </c>
      <c r="P49" s="72">
        <v>31</v>
      </c>
      <c r="Q49" s="72">
        <v>0</v>
      </c>
      <c r="R49" s="72">
        <v>0</v>
      </c>
      <c r="S49" s="63"/>
      <c r="T49" s="72" t="s">
        <v>54</v>
      </c>
      <c r="U49" s="109" t="str">
        <f>IF($J$1="October",Y48,"")</f>
        <v/>
      </c>
      <c r="V49" s="74"/>
      <c r="W49" s="109" t="str">
        <f t="shared" si="7"/>
        <v/>
      </c>
      <c r="X49" s="74"/>
      <c r="Y49" s="109" t="str">
        <f t="shared" si="8"/>
        <v/>
      </c>
      <c r="Z49" s="76"/>
    </row>
    <row r="50" spans="1:27" s="29" customFormat="1" ht="21" customHeight="1" x14ac:dyDescent="0.2">
      <c r="A50" s="30"/>
      <c r="B50" s="455" t="s">
        <v>94</v>
      </c>
      <c r="C50" s="455"/>
      <c r="D50" s="455"/>
      <c r="E50" s="455"/>
      <c r="F50" s="455"/>
      <c r="G50" s="455"/>
      <c r="H50" s="455"/>
      <c r="I50" s="455"/>
      <c r="J50" s="455"/>
      <c r="K50" s="455"/>
      <c r="L50" s="46"/>
      <c r="N50" s="71"/>
      <c r="O50" s="72" t="s">
        <v>59</v>
      </c>
      <c r="P50" s="72"/>
      <c r="Q50" s="72"/>
      <c r="R50" s="72"/>
      <c r="S50" s="63"/>
      <c r="T50" s="72" t="s">
        <v>59</v>
      </c>
      <c r="U50" s="109" t="str">
        <f>IF($J$1="November",Y49,"")</f>
        <v/>
      </c>
      <c r="V50" s="74"/>
      <c r="W50" s="109" t="str">
        <f t="shared" si="7"/>
        <v/>
      </c>
      <c r="X50" s="74"/>
      <c r="Y50" s="109" t="str">
        <f t="shared" si="8"/>
        <v/>
      </c>
      <c r="Z50" s="76"/>
    </row>
    <row r="51" spans="1:27" s="29" customFormat="1" ht="21" customHeight="1" x14ac:dyDescent="0.2">
      <c r="A51" s="30"/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6"/>
      <c r="N51" s="71"/>
      <c r="O51" s="72" t="s">
        <v>60</v>
      </c>
      <c r="P51" s="72"/>
      <c r="Q51" s="72"/>
      <c r="R51" s="72" t="str">
        <f t="shared" si="6"/>
        <v/>
      </c>
      <c r="S51" s="63"/>
      <c r="T51" s="72" t="s">
        <v>60</v>
      </c>
      <c r="U51" s="109" t="str">
        <f>IF($J$1="December",Y50,"")</f>
        <v/>
      </c>
      <c r="V51" s="74"/>
      <c r="W51" s="109" t="str">
        <f t="shared" si="7"/>
        <v/>
      </c>
      <c r="X51" s="74"/>
      <c r="Y51" s="109" t="str">
        <f t="shared" si="8"/>
        <v/>
      </c>
      <c r="Z51" s="76"/>
    </row>
    <row r="52" spans="1:27" s="29" customFormat="1" ht="21" customHeight="1" x14ac:dyDescent="0.2">
      <c r="A52" s="30"/>
      <c r="L52" s="46"/>
      <c r="N52" s="71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85"/>
    </row>
    <row r="53" spans="1:27" s="100" customFormat="1" ht="21" customHeight="1" x14ac:dyDescent="0.2"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7" s="29" customFormat="1" ht="21" customHeight="1" x14ac:dyDescent="0.2">
      <c r="A54" s="523" t="s">
        <v>42</v>
      </c>
      <c r="B54" s="524"/>
      <c r="C54" s="524"/>
      <c r="D54" s="524"/>
      <c r="E54" s="524"/>
      <c r="F54" s="524"/>
      <c r="G54" s="524"/>
      <c r="H54" s="524"/>
      <c r="I54" s="524"/>
      <c r="J54" s="524"/>
      <c r="K54" s="524"/>
      <c r="L54" s="525"/>
      <c r="M54" s="28"/>
      <c r="N54" s="75"/>
      <c r="O54" s="520" t="s">
        <v>44</v>
      </c>
      <c r="P54" s="521"/>
      <c r="Q54" s="521"/>
      <c r="R54" s="522"/>
      <c r="S54" s="63"/>
      <c r="T54" s="520" t="s">
        <v>45</v>
      </c>
      <c r="U54" s="521"/>
      <c r="V54" s="521"/>
      <c r="W54" s="521"/>
      <c r="X54" s="521"/>
      <c r="Y54" s="522"/>
      <c r="Z54" s="86"/>
      <c r="AA54" s="28"/>
    </row>
    <row r="55" spans="1:27" s="29" customFormat="1" ht="21" customHeight="1" x14ac:dyDescent="0.2">
      <c r="A55" s="30"/>
      <c r="C55" s="466" t="s">
        <v>92</v>
      </c>
      <c r="D55" s="466"/>
      <c r="E55" s="466"/>
      <c r="F55" s="466"/>
      <c r="G55" s="31" t="str">
        <f>$J$1</f>
        <v>October</v>
      </c>
      <c r="H55" s="467">
        <f>$K$1</f>
        <v>2022</v>
      </c>
      <c r="I55" s="467"/>
      <c r="K55" s="32"/>
      <c r="L55" s="33"/>
      <c r="M55" s="32"/>
      <c r="N55" s="67"/>
      <c r="O55" s="68" t="s">
        <v>55</v>
      </c>
      <c r="P55" s="68" t="s">
        <v>7</v>
      </c>
      <c r="Q55" s="68" t="s">
        <v>6</v>
      </c>
      <c r="R55" s="68" t="s">
        <v>56</v>
      </c>
      <c r="S55" s="69"/>
      <c r="T55" s="68" t="s">
        <v>55</v>
      </c>
      <c r="U55" s="68" t="s">
        <v>57</v>
      </c>
      <c r="V55" s="68" t="s">
        <v>22</v>
      </c>
      <c r="W55" s="68" t="s">
        <v>21</v>
      </c>
      <c r="X55" s="68" t="s">
        <v>23</v>
      </c>
      <c r="Y55" s="68" t="s">
        <v>61</v>
      </c>
      <c r="Z55" s="70"/>
      <c r="AA55" s="32"/>
    </row>
    <row r="56" spans="1:27" s="29" customFormat="1" ht="21" customHeight="1" x14ac:dyDescent="0.2">
      <c r="A56" s="30"/>
      <c r="D56" s="35"/>
      <c r="E56" s="35"/>
      <c r="F56" s="35"/>
      <c r="G56" s="35"/>
      <c r="H56" s="35"/>
      <c r="J56" s="36" t="s">
        <v>1</v>
      </c>
      <c r="K56" s="37">
        <v>5000</v>
      </c>
      <c r="L56" s="38"/>
      <c r="N56" s="71"/>
      <c r="O56" s="72" t="s">
        <v>47</v>
      </c>
      <c r="P56" s="72"/>
      <c r="Q56" s="72"/>
      <c r="R56" s="72"/>
      <c r="S56" s="73"/>
      <c r="T56" s="72" t="s">
        <v>47</v>
      </c>
      <c r="U56" s="74"/>
      <c r="V56" s="74"/>
      <c r="W56" s="74">
        <f>V56+U56</f>
        <v>0</v>
      </c>
      <c r="X56" s="74"/>
      <c r="Y56" s="74">
        <f>W56-X56</f>
        <v>0</v>
      </c>
      <c r="Z56" s="70"/>
    </row>
    <row r="57" spans="1:27" s="29" customFormat="1" ht="21" customHeight="1" x14ac:dyDescent="0.2">
      <c r="A57" s="30"/>
      <c r="B57" s="29" t="s">
        <v>0</v>
      </c>
      <c r="C57" s="40" t="s">
        <v>188</v>
      </c>
      <c r="H57" s="41"/>
      <c r="I57" s="35"/>
      <c r="L57" s="42"/>
      <c r="M57" s="28"/>
      <c r="N57" s="75"/>
      <c r="O57" s="72" t="s">
        <v>73</v>
      </c>
      <c r="P57" s="72"/>
      <c r="Q57" s="72"/>
      <c r="R57" s="72"/>
      <c r="S57" s="63"/>
      <c r="T57" s="72" t="s">
        <v>73</v>
      </c>
      <c r="U57" s="109">
        <f>Y56</f>
        <v>0</v>
      </c>
      <c r="V57" s="74"/>
      <c r="W57" s="109">
        <f>IF(U57="","",U57+V57)</f>
        <v>0</v>
      </c>
      <c r="X57" s="74"/>
      <c r="Y57" s="109">
        <f>IF(W57="","",W57-X57)</f>
        <v>0</v>
      </c>
      <c r="Z57" s="76"/>
      <c r="AA57" s="28"/>
    </row>
    <row r="58" spans="1:27" s="29" customFormat="1" ht="21" customHeight="1" x14ac:dyDescent="0.2">
      <c r="A58" s="30"/>
      <c r="B58" s="44" t="s">
        <v>43</v>
      </c>
      <c r="C58" s="45"/>
      <c r="F58" s="468" t="s">
        <v>45</v>
      </c>
      <c r="G58" s="468"/>
      <c r="I58" s="468" t="s">
        <v>46</v>
      </c>
      <c r="J58" s="468"/>
      <c r="K58" s="468"/>
      <c r="L58" s="46"/>
      <c r="N58" s="71"/>
      <c r="O58" s="72" t="s">
        <v>48</v>
      </c>
      <c r="P58" s="72"/>
      <c r="Q58" s="72"/>
      <c r="R58" s="72" t="str">
        <f t="shared" ref="R58:R67" si="9">IF(Q58="","",R57-Q58)</f>
        <v/>
      </c>
      <c r="S58" s="63"/>
      <c r="T58" s="72" t="s">
        <v>48</v>
      </c>
      <c r="U58" s="109"/>
      <c r="V58" s="74"/>
      <c r="W58" s="109" t="str">
        <f t="shared" ref="W58:W67" si="10">IF(U58="","",U58+V58)</f>
        <v/>
      </c>
      <c r="X58" s="74"/>
      <c r="Y58" s="109" t="str">
        <f t="shared" ref="Y58:Y67" si="11">IF(W58="","",W58-X58)</f>
        <v/>
      </c>
      <c r="Z58" s="76"/>
    </row>
    <row r="59" spans="1:27" s="29" customFormat="1" ht="21" customHeight="1" x14ac:dyDescent="0.2">
      <c r="A59" s="30"/>
      <c r="H59" s="47"/>
      <c r="L59" s="34"/>
      <c r="N59" s="71"/>
      <c r="O59" s="72" t="s">
        <v>49</v>
      </c>
      <c r="P59" s="72"/>
      <c r="Q59" s="72"/>
      <c r="R59" s="72" t="str">
        <f t="shared" si="9"/>
        <v/>
      </c>
      <c r="S59" s="63"/>
      <c r="T59" s="72" t="s">
        <v>49</v>
      </c>
      <c r="U59" s="109"/>
      <c r="V59" s="74"/>
      <c r="W59" s="109">
        <f>V59+U59</f>
        <v>0</v>
      </c>
      <c r="X59" s="74"/>
      <c r="Y59" s="109">
        <f t="shared" si="11"/>
        <v>0</v>
      </c>
      <c r="Z59" s="76"/>
    </row>
    <row r="60" spans="1:27" s="29" customFormat="1" ht="21" customHeight="1" x14ac:dyDescent="0.2">
      <c r="A60" s="30"/>
      <c r="B60" s="472" t="s">
        <v>44</v>
      </c>
      <c r="C60" s="473"/>
      <c r="F60" s="48" t="s">
        <v>66</v>
      </c>
      <c r="G60" s="43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7"/>
      <c r="I60" s="49"/>
      <c r="J60" s="50" t="s">
        <v>63</v>
      </c>
      <c r="K60" s="51">
        <v>5000</v>
      </c>
      <c r="L60" s="52"/>
      <c r="N60" s="71"/>
      <c r="O60" s="72" t="s">
        <v>50</v>
      </c>
      <c r="P60" s="72"/>
      <c r="Q60" s="72"/>
      <c r="R60" s="72" t="str">
        <f t="shared" si="9"/>
        <v/>
      </c>
      <c r="S60" s="63"/>
      <c r="T60" s="72" t="s">
        <v>50</v>
      </c>
      <c r="U60" s="109">
        <f>Y59</f>
        <v>0</v>
      </c>
      <c r="V60" s="74"/>
      <c r="W60" s="109">
        <f t="shared" si="10"/>
        <v>0</v>
      </c>
      <c r="X60" s="74"/>
      <c r="Y60" s="109">
        <f t="shared" si="11"/>
        <v>0</v>
      </c>
      <c r="Z60" s="76"/>
    </row>
    <row r="61" spans="1:27" s="29" customFormat="1" ht="21" customHeight="1" x14ac:dyDescent="0.2">
      <c r="A61" s="30"/>
      <c r="B61" s="39"/>
      <c r="C61" s="39"/>
      <c r="F61" s="48" t="s">
        <v>22</v>
      </c>
      <c r="G61" s="43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7"/>
      <c r="I61" s="49"/>
      <c r="J61" s="50" t="s">
        <v>64</v>
      </c>
      <c r="K61" s="53">
        <f>K56/$K$2/8*I61</f>
        <v>0</v>
      </c>
      <c r="L61" s="54"/>
      <c r="N61" s="71"/>
      <c r="O61" s="72" t="s">
        <v>51</v>
      </c>
      <c r="P61" s="72"/>
      <c r="Q61" s="72"/>
      <c r="R61" s="72" t="str">
        <f t="shared" si="9"/>
        <v/>
      </c>
      <c r="S61" s="63"/>
      <c r="T61" s="72" t="s">
        <v>51</v>
      </c>
      <c r="U61" s="109">
        <f>Y60</f>
        <v>0</v>
      </c>
      <c r="V61" s="74"/>
      <c r="W61" s="109">
        <f t="shared" si="10"/>
        <v>0</v>
      </c>
      <c r="X61" s="74"/>
      <c r="Y61" s="109">
        <f t="shared" si="11"/>
        <v>0</v>
      </c>
      <c r="Z61" s="76"/>
    </row>
    <row r="62" spans="1:27" s="29" customFormat="1" ht="21" customHeight="1" x14ac:dyDescent="0.2">
      <c r="A62" s="30"/>
      <c r="B62" s="48" t="s">
        <v>7</v>
      </c>
      <c r="C62" s="39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F62" s="48" t="s">
        <v>67</v>
      </c>
      <c r="G62" s="43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7"/>
      <c r="I62" s="456" t="s">
        <v>71</v>
      </c>
      <c r="J62" s="457"/>
      <c r="K62" s="53">
        <f>K60+K61</f>
        <v>5000</v>
      </c>
      <c r="L62" s="54"/>
      <c r="N62" s="71"/>
      <c r="O62" s="72" t="s">
        <v>52</v>
      </c>
      <c r="P62" s="72"/>
      <c r="Q62" s="72"/>
      <c r="R62" s="72" t="str">
        <f t="shared" si="9"/>
        <v/>
      </c>
      <c r="S62" s="63"/>
      <c r="T62" s="72" t="s">
        <v>52</v>
      </c>
      <c r="U62" s="109"/>
      <c r="V62" s="74"/>
      <c r="W62" s="109" t="str">
        <f t="shared" si="10"/>
        <v/>
      </c>
      <c r="X62" s="74"/>
      <c r="Y62" s="109" t="str">
        <f t="shared" si="11"/>
        <v/>
      </c>
      <c r="Z62" s="76"/>
    </row>
    <row r="63" spans="1:27" s="29" customFormat="1" ht="21" customHeight="1" x14ac:dyDescent="0.2">
      <c r="A63" s="30"/>
      <c r="B63" s="48" t="s">
        <v>6</v>
      </c>
      <c r="C63" s="39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F63" s="48" t="s">
        <v>23</v>
      </c>
      <c r="G63" s="43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7"/>
      <c r="I63" s="456" t="s">
        <v>72</v>
      </c>
      <c r="J63" s="457"/>
      <c r="K63" s="43"/>
      <c r="L63" s="55"/>
      <c r="N63" s="71"/>
      <c r="O63" s="72" t="s">
        <v>53</v>
      </c>
      <c r="P63" s="72"/>
      <c r="Q63" s="72"/>
      <c r="R63" s="72" t="str">
        <f t="shared" si="9"/>
        <v/>
      </c>
      <c r="S63" s="63"/>
      <c r="T63" s="72" t="s">
        <v>53</v>
      </c>
      <c r="U63" s="109"/>
      <c r="V63" s="74"/>
      <c r="W63" s="109" t="str">
        <f t="shared" si="10"/>
        <v/>
      </c>
      <c r="X63" s="74"/>
      <c r="Y63" s="109" t="str">
        <f t="shared" si="11"/>
        <v/>
      </c>
      <c r="Z63" s="76"/>
    </row>
    <row r="64" spans="1:27" s="29" customFormat="1" ht="21" customHeight="1" x14ac:dyDescent="0.2">
      <c r="A64" s="30"/>
      <c r="B64" s="56" t="s">
        <v>70</v>
      </c>
      <c r="C64" s="39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F64" s="48" t="s">
        <v>69</v>
      </c>
      <c r="G64" s="43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I64" s="458" t="s">
        <v>65</v>
      </c>
      <c r="J64" s="459"/>
      <c r="K64" s="57">
        <v>5000</v>
      </c>
      <c r="L64" s="58"/>
      <c r="N64" s="71"/>
      <c r="O64" s="72" t="s">
        <v>58</v>
      </c>
      <c r="P64" s="72"/>
      <c r="Q64" s="72"/>
      <c r="R64" s="72" t="str">
        <f t="shared" si="9"/>
        <v/>
      </c>
      <c r="S64" s="63"/>
      <c r="T64" s="72" t="s">
        <v>58</v>
      </c>
      <c r="U64" s="109"/>
      <c r="V64" s="74"/>
      <c r="W64" s="109" t="str">
        <f t="shared" si="10"/>
        <v/>
      </c>
      <c r="X64" s="74"/>
      <c r="Y64" s="109" t="str">
        <f t="shared" si="11"/>
        <v/>
      </c>
      <c r="Z64" s="76"/>
    </row>
    <row r="65" spans="1:27" s="29" customFormat="1" ht="21" customHeight="1" x14ac:dyDescent="0.2">
      <c r="A65" s="30"/>
      <c r="L65" s="46"/>
      <c r="N65" s="71"/>
      <c r="O65" s="72" t="s">
        <v>54</v>
      </c>
      <c r="P65" s="72"/>
      <c r="Q65" s="72"/>
      <c r="R65" s="72" t="str">
        <f t="shared" si="9"/>
        <v/>
      </c>
      <c r="S65" s="63"/>
      <c r="T65" s="72" t="s">
        <v>54</v>
      </c>
      <c r="U65" s="109"/>
      <c r="V65" s="74"/>
      <c r="W65" s="109" t="str">
        <f t="shared" si="10"/>
        <v/>
      </c>
      <c r="X65" s="74"/>
      <c r="Y65" s="109" t="str">
        <f t="shared" si="11"/>
        <v/>
      </c>
      <c r="Z65" s="76"/>
    </row>
    <row r="66" spans="1:27" s="29" customFormat="1" ht="21" customHeight="1" x14ac:dyDescent="0.2">
      <c r="A66" s="30"/>
      <c r="B66" s="455" t="s">
        <v>94</v>
      </c>
      <c r="C66" s="455"/>
      <c r="D66" s="455"/>
      <c r="E66" s="455"/>
      <c r="F66" s="455"/>
      <c r="G66" s="455"/>
      <c r="H66" s="455"/>
      <c r="I66" s="455"/>
      <c r="J66" s="455"/>
      <c r="K66" s="455"/>
      <c r="L66" s="46"/>
      <c r="N66" s="71"/>
      <c r="O66" s="72" t="s">
        <v>59</v>
      </c>
      <c r="P66" s="72"/>
      <c r="Q66" s="72"/>
      <c r="R66" s="72" t="str">
        <f t="shared" si="9"/>
        <v/>
      </c>
      <c r="S66" s="63"/>
      <c r="T66" s="72" t="s">
        <v>59</v>
      </c>
      <c r="U66" s="109"/>
      <c r="V66" s="74"/>
      <c r="W66" s="109" t="str">
        <f t="shared" si="10"/>
        <v/>
      </c>
      <c r="X66" s="74"/>
      <c r="Y66" s="109" t="str">
        <f t="shared" si="11"/>
        <v/>
      </c>
      <c r="Z66" s="76"/>
    </row>
    <row r="67" spans="1:27" s="29" customFormat="1" ht="21" customHeight="1" x14ac:dyDescent="0.2">
      <c r="A67" s="30"/>
      <c r="B67" s="455"/>
      <c r="C67" s="455"/>
      <c r="D67" s="455"/>
      <c r="E67" s="455"/>
      <c r="F67" s="455"/>
      <c r="G67" s="455"/>
      <c r="H67" s="455"/>
      <c r="I67" s="455"/>
      <c r="J67" s="455"/>
      <c r="K67" s="455"/>
      <c r="L67" s="46"/>
      <c r="N67" s="71"/>
      <c r="O67" s="72" t="s">
        <v>60</v>
      </c>
      <c r="P67" s="72"/>
      <c r="Q67" s="72"/>
      <c r="R67" s="72" t="str">
        <f t="shared" si="9"/>
        <v/>
      </c>
      <c r="S67" s="63"/>
      <c r="T67" s="72" t="s">
        <v>60</v>
      </c>
      <c r="U67" s="109"/>
      <c r="V67" s="74"/>
      <c r="W67" s="109" t="str">
        <f t="shared" si="10"/>
        <v/>
      </c>
      <c r="X67" s="74"/>
      <c r="Y67" s="109" t="str">
        <f t="shared" si="11"/>
        <v/>
      </c>
      <c r="Z67" s="76"/>
    </row>
    <row r="68" spans="1:27" s="29" customFormat="1" ht="21" customHeight="1" thickBot="1" x14ac:dyDescent="0.25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1"/>
      <c r="N68" s="7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9"/>
    </row>
    <row r="69" spans="1:27" s="29" customFormat="1" ht="21" customHeight="1" x14ac:dyDescent="0.2"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7" s="29" customFormat="1" ht="21" customHeight="1" x14ac:dyDescent="0.2">
      <c r="A70" s="523" t="s">
        <v>42</v>
      </c>
      <c r="B70" s="524"/>
      <c r="C70" s="524"/>
      <c r="D70" s="524"/>
      <c r="E70" s="524"/>
      <c r="F70" s="524"/>
      <c r="G70" s="524"/>
      <c r="H70" s="524"/>
      <c r="I70" s="524"/>
      <c r="J70" s="524"/>
      <c r="K70" s="524"/>
      <c r="L70" s="525"/>
      <c r="M70" s="28"/>
      <c r="N70" s="75"/>
      <c r="O70" s="520" t="s">
        <v>44</v>
      </c>
      <c r="P70" s="521"/>
      <c r="Q70" s="521"/>
      <c r="R70" s="522"/>
      <c r="S70" s="63"/>
      <c r="T70" s="520" t="s">
        <v>45</v>
      </c>
      <c r="U70" s="521"/>
      <c r="V70" s="521"/>
      <c r="W70" s="521"/>
      <c r="X70" s="521"/>
      <c r="Y70" s="522"/>
      <c r="Z70" s="86"/>
      <c r="AA70" s="28"/>
    </row>
    <row r="71" spans="1:27" s="29" customFormat="1" ht="21" customHeight="1" x14ac:dyDescent="0.2">
      <c r="A71" s="30"/>
      <c r="C71" s="466" t="s">
        <v>92</v>
      </c>
      <c r="D71" s="466"/>
      <c r="E71" s="466"/>
      <c r="F71" s="466"/>
      <c r="G71" s="31" t="str">
        <f>$J$1</f>
        <v>October</v>
      </c>
      <c r="H71" s="467">
        <f>$K$1</f>
        <v>2022</v>
      </c>
      <c r="I71" s="467"/>
      <c r="K71" s="32"/>
      <c r="L71" s="33"/>
      <c r="M71" s="32"/>
      <c r="N71" s="67"/>
      <c r="O71" s="68" t="s">
        <v>55</v>
      </c>
      <c r="P71" s="68" t="s">
        <v>7</v>
      </c>
      <c r="Q71" s="68" t="s">
        <v>6</v>
      </c>
      <c r="R71" s="68" t="s">
        <v>56</v>
      </c>
      <c r="S71" s="69"/>
      <c r="T71" s="68" t="s">
        <v>55</v>
      </c>
      <c r="U71" s="68" t="s">
        <v>57</v>
      </c>
      <c r="V71" s="68" t="s">
        <v>22</v>
      </c>
      <c r="W71" s="68" t="s">
        <v>21</v>
      </c>
      <c r="X71" s="68" t="s">
        <v>23</v>
      </c>
      <c r="Y71" s="68" t="s">
        <v>61</v>
      </c>
      <c r="Z71" s="70"/>
      <c r="AA71" s="32"/>
    </row>
    <row r="72" spans="1:27" s="29" customFormat="1" ht="21" customHeight="1" x14ac:dyDescent="0.2">
      <c r="A72" s="30"/>
      <c r="D72" s="35"/>
      <c r="E72" s="35"/>
      <c r="F72" s="35"/>
      <c r="G72" s="35"/>
      <c r="H72" s="35"/>
      <c r="J72" s="36" t="s">
        <v>1</v>
      </c>
      <c r="K72" s="37">
        <v>15000</v>
      </c>
      <c r="L72" s="38"/>
      <c r="N72" s="71"/>
      <c r="O72" s="72" t="s">
        <v>47</v>
      </c>
      <c r="P72" s="72"/>
      <c r="Q72" s="72"/>
      <c r="R72" s="72"/>
      <c r="S72" s="73"/>
      <c r="T72" s="72" t="s">
        <v>47</v>
      </c>
      <c r="U72" s="74"/>
      <c r="V72" s="74"/>
      <c r="W72" s="74">
        <f>V72+U72</f>
        <v>0</v>
      </c>
      <c r="X72" s="74"/>
      <c r="Y72" s="74">
        <f>W72-X72</f>
        <v>0</v>
      </c>
      <c r="Z72" s="70"/>
    </row>
    <row r="73" spans="1:27" s="29" customFormat="1" ht="21" customHeight="1" x14ac:dyDescent="0.2">
      <c r="A73" s="30"/>
      <c r="B73" s="29" t="s">
        <v>0</v>
      </c>
      <c r="C73" s="40" t="s">
        <v>76</v>
      </c>
      <c r="H73" s="41"/>
      <c r="I73" s="35"/>
      <c r="L73" s="42"/>
      <c r="M73" s="28"/>
      <c r="N73" s="75"/>
      <c r="O73" s="72" t="s">
        <v>73</v>
      </c>
      <c r="P73" s="72"/>
      <c r="Q73" s="72"/>
      <c r="R73" s="72" t="str">
        <f t="shared" ref="R73:R83" si="12">IF(Q73="","",R72-Q73)</f>
        <v/>
      </c>
      <c r="S73" s="63"/>
      <c r="T73" s="72" t="s">
        <v>73</v>
      </c>
      <c r="U73" s="109" t="str">
        <f>IF($J$1="February",Y72,"")</f>
        <v/>
      </c>
      <c r="V73" s="74"/>
      <c r="W73" s="109" t="str">
        <f>IF(U73="","",U73+V73)</f>
        <v/>
      </c>
      <c r="X73" s="74"/>
      <c r="Y73" s="109" t="str">
        <f>IF(W73="","",W73-X73)</f>
        <v/>
      </c>
      <c r="Z73" s="76"/>
      <c r="AA73" s="28"/>
    </row>
    <row r="74" spans="1:27" s="29" customFormat="1" ht="21" customHeight="1" x14ac:dyDescent="0.2">
      <c r="A74" s="30"/>
      <c r="B74" s="44" t="s">
        <v>43</v>
      </c>
      <c r="C74" s="45"/>
      <c r="F74" s="468" t="s">
        <v>45</v>
      </c>
      <c r="G74" s="468"/>
      <c r="I74" s="468" t="s">
        <v>46</v>
      </c>
      <c r="J74" s="468"/>
      <c r="K74" s="468"/>
      <c r="L74" s="46"/>
      <c r="N74" s="71"/>
      <c r="O74" s="72" t="s">
        <v>48</v>
      </c>
      <c r="P74" s="72"/>
      <c r="Q74" s="72"/>
      <c r="R74" s="72" t="str">
        <f t="shared" si="12"/>
        <v/>
      </c>
      <c r="S74" s="63"/>
      <c r="T74" s="72" t="s">
        <v>48</v>
      </c>
      <c r="U74" s="109" t="str">
        <f>IF($J$1="March",Y73,"")</f>
        <v/>
      </c>
      <c r="V74" s="74"/>
      <c r="W74" s="109" t="str">
        <f t="shared" ref="W74:W83" si="13">IF(U74="","",U74+V74)</f>
        <v/>
      </c>
      <c r="X74" s="74"/>
      <c r="Y74" s="109" t="str">
        <f t="shared" ref="Y74:Y83" si="14">IF(W74="","",W74-X74)</f>
        <v/>
      </c>
      <c r="Z74" s="76"/>
    </row>
    <row r="75" spans="1:27" s="29" customFormat="1" ht="21" customHeight="1" x14ac:dyDescent="0.2">
      <c r="A75" s="30"/>
      <c r="H75" s="47"/>
      <c r="L75" s="34"/>
      <c r="N75" s="71"/>
      <c r="O75" s="72" t="s">
        <v>49</v>
      </c>
      <c r="P75" s="72"/>
      <c r="Q75" s="72"/>
      <c r="R75" s="72" t="str">
        <f t="shared" si="12"/>
        <v/>
      </c>
      <c r="S75" s="63"/>
      <c r="T75" s="72" t="s">
        <v>49</v>
      </c>
      <c r="U75" s="109" t="str">
        <f>IF($J$1="April",Y74,"")</f>
        <v/>
      </c>
      <c r="V75" s="74"/>
      <c r="W75" s="109" t="str">
        <f t="shared" si="13"/>
        <v/>
      </c>
      <c r="X75" s="74"/>
      <c r="Y75" s="109" t="str">
        <f t="shared" si="14"/>
        <v/>
      </c>
      <c r="Z75" s="76"/>
    </row>
    <row r="76" spans="1:27" s="29" customFormat="1" ht="21" customHeight="1" x14ac:dyDescent="0.2">
      <c r="A76" s="30"/>
      <c r="B76" s="472" t="s">
        <v>44</v>
      </c>
      <c r="C76" s="473"/>
      <c r="F76" s="48" t="s">
        <v>66</v>
      </c>
      <c r="G76" s="43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7"/>
      <c r="I76" s="49">
        <f>IF(C80&gt;=C79,$K$2,C78-C79+C80)</f>
        <v>31</v>
      </c>
      <c r="J76" s="50" t="s">
        <v>63</v>
      </c>
      <c r="K76" s="51">
        <f>K72/$K$2*I76</f>
        <v>15000</v>
      </c>
      <c r="L76" s="52"/>
      <c r="N76" s="71"/>
      <c r="O76" s="72" t="s">
        <v>50</v>
      </c>
      <c r="P76" s="72"/>
      <c r="Q76" s="72"/>
      <c r="R76" s="72" t="str">
        <f t="shared" si="12"/>
        <v/>
      </c>
      <c r="S76" s="63"/>
      <c r="T76" s="72" t="s">
        <v>50</v>
      </c>
      <c r="U76" s="109" t="str">
        <f>IF($J$1="May",Y75,"")</f>
        <v/>
      </c>
      <c r="V76" s="74"/>
      <c r="W76" s="109" t="str">
        <f t="shared" si="13"/>
        <v/>
      </c>
      <c r="X76" s="74"/>
      <c r="Y76" s="109" t="str">
        <f t="shared" si="14"/>
        <v/>
      </c>
      <c r="Z76" s="76"/>
    </row>
    <row r="77" spans="1:27" s="29" customFormat="1" ht="21" customHeight="1" x14ac:dyDescent="0.2">
      <c r="A77" s="30"/>
      <c r="B77" s="39"/>
      <c r="C77" s="39"/>
      <c r="F77" s="48" t="s">
        <v>22</v>
      </c>
      <c r="G77" s="43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7"/>
      <c r="I77" s="49"/>
      <c r="J77" s="50" t="s">
        <v>64</v>
      </c>
      <c r="K77" s="53">
        <f>K72/$K$2/8*I77</f>
        <v>0</v>
      </c>
      <c r="L77" s="54"/>
      <c r="N77" s="71"/>
      <c r="O77" s="72" t="s">
        <v>51</v>
      </c>
      <c r="P77" s="72"/>
      <c r="Q77" s="72"/>
      <c r="R77" s="72" t="str">
        <f t="shared" si="12"/>
        <v/>
      </c>
      <c r="S77" s="63"/>
      <c r="T77" s="72" t="s">
        <v>51</v>
      </c>
      <c r="U77" s="109" t="str">
        <f>IF($J$1="June",Y76,"")</f>
        <v/>
      </c>
      <c r="V77" s="74"/>
      <c r="W77" s="109" t="str">
        <f t="shared" si="13"/>
        <v/>
      </c>
      <c r="X77" s="74"/>
      <c r="Y77" s="109" t="str">
        <f t="shared" si="14"/>
        <v/>
      </c>
      <c r="Z77" s="76"/>
    </row>
    <row r="78" spans="1:27" s="29" customFormat="1" ht="21" customHeight="1" x14ac:dyDescent="0.2">
      <c r="A78" s="30"/>
      <c r="B78" s="48" t="s">
        <v>7</v>
      </c>
      <c r="C78" s="39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F78" s="48" t="s">
        <v>67</v>
      </c>
      <c r="G78" s="43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7"/>
      <c r="I78" s="456" t="s">
        <v>71</v>
      </c>
      <c r="J78" s="457"/>
      <c r="K78" s="53">
        <f>K76+K77</f>
        <v>15000</v>
      </c>
      <c r="L78" s="54"/>
      <c r="N78" s="71"/>
      <c r="O78" s="72" t="s">
        <v>52</v>
      </c>
      <c r="P78" s="72"/>
      <c r="Q78" s="72"/>
      <c r="R78" s="72" t="str">
        <f t="shared" si="12"/>
        <v/>
      </c>
      <c r="S78" s="63"/>
      <c r="T78" s="72" t="s">
        <v>52</v>
      </c>
      <c r="U78" s="109" t="str">
        <f>IF($J$1="July",Y77,"")</f>
        <v/>
      </c>
      <c r="V78" s="74"/>
      <c r="W78" s="109" t="str">
        <f t="shared" si="13"/>
        <v/>
      </c>
      <c r="X78" s="74"/>
      <c r="Y78" s="109" t="str">
        <f t="shared" si="14"/>
        <v/>
      </c>
      <c r="Z78" s="76"/>
    </row>
    <row r="79" spans="1:27" s="29" customFormat="1" ht="21" customHeight="1" x14ac:dyDescent="0.2">
      <c r="A79" s="30"/>
      <c r="B79" s="48" t="s">
        <v>6</v>
      </c>
      <c r="C79" s="39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F79" s="48" t="s">
        <v>23</v>
      </c>
      <c r="G79" s="43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7"/>
      <c r="I79" s="456" t="s">
        <v>72</v>
      </c>
      <c r="J79" s="457"/>
      <c r="K79" s="43">
        <f>G79</f>
        <v>0</v>
      </c>
      <c r="L79" s="55"/>
      <c r="N79" s="71"/>
      <c r="O79" s="72" t="s">
        <v>53</v>
      </c>
      <c r="P79" s="72"/>
      <c r="Q79" s="72"/>
      <c r="R79" s="72" t="str">
        <f t="shared" si="12"/>
        <v/>
      </c>
      <c r="S79" s="63"/>
      <c r="T79" s="72" t="s">
        <v>53</v>
      </c>
      <c r="U79" s="109" t="str">
        <f>IF($J$1="August",Y78,"")</f>
        <v/>
      </c>
      <c r="V79" s="74"/>
      <c r="W79" s="109" t="str">
        <f t="shared" si="13"/>
        <v/>
      </c>
      <c r="X79" s="74"/>
      <c r="Y79" s="109" t="str">
        <f t="shared" si="14"/>
        <v/>
      </c>
      <c r="Z79" s="76"/>
    </row>
    <row r="80" spans="1:27" s="29" customFormat="1" ht="21" customHeight="1" x14ac:dyDescent="0.2">
      <c r="A80" s="30"/>
      <c r="B80" s="56" t="s">
        <v>70</v>
      </c>
      <c r="C80" s="39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F80" s="48" t="s">
        <v>69</v>
      </c>
      <c r="G80" s="43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I80" s="458" t="s">
        <v>65</v>
      </c>
      <c r="J80" s="459"/>
      <c r="K80" s="57"/>
      <c r="L80" s="58"/>
      <c r="N80" s="71"/>
      <c r="O80" s="72" t="s">
        <v>58</v>
      </c>
      <c r="P80" s="72"/>
      <c r="Q80" s="72"/>
      <c r="R80" s="72" t="str">
        <f t="shared" si="12"/>
        <v/>
      </c>
      <c r="S80" s="63"/>
      <c r="T80" s="72" t="s">
        <v>58</v>
      </c>
      <c r="U80" s="109" t="str">
        <f>IF($J$1="September",Y79,"")</f>
        <v/>
      </c>
      <c r="V80" s="74"/>
      <c r="W80" s="109" t="str">
        <f t="shared" si="13"/>
        <v/>
      </c>
      <c r="X80" s="74"/>
      <c r="Y80" s="109" t="str">
        <f t="shared" si="14"/>
        <v/>
      </c>
      <c r="Z80" s="76"/>
    </row>
    <row r="81" spans="1:27" s="29" customFormat="1" ht="21" customHeight="1" x14ac:dyDescent="0.2">
      <c r="A81" s="30"/>
      <c r="L81" s="46"/>
      <c r="N81" s="71"/>
      <c r="O81" s="72" t="s">
        <v>54</v>
      </c>
      <c r="P81" s="72"/>
      <c r="Q81" s="72"/>
      <c r="R81" s="72" t="str">
        <f t="shared" si="12"/>
        <v/>
      </c>
      <c r="S81" s="63"/>
      <c r="T81" s="72" t="s">
        <v>54</v>
      </c>
      <c r="U81" s="109" t="str">
        <f>IF($J$1="October",Y80,"")</f>
        <v/>
      </c>
      <c r="V81" s="74"/>
      <c r="W81" s="109" t="str">
        <f t="shared" si="13"/>
        <v/>
      </c>
      <c r="X81" s="74"/>
      <c r="Y81" s="109" t="str">
        <f t="shared" si="14"/>
        <v/>
      </c>
      <c r="Z81" s="76"/>
    </row>
    <row r="82" spans="1:27" s="29" customFormat="1" ht="21" customHeight="1" x14ac:dyDescent="0.2">
      <c r="A82" s="30"/>
      <c r="B82" s="455" t="s">
        <v>94</v>
      </c>
      <c r="C82" s="455"/>
      <c r="D82" s="455"/>
      <c r="E82" s="455"/>
      <c r="F82" s="455"/>
      <c r="G82" s="455"/>
      <c r="H82" s="455"/>
      <c r="I82" s="455"/>
      <c r="J82" s="455"/>
      <c r="K82" s="455"/>
      <c r="L82" s="46"/>
      <c r="N82" s="71"/>
      <c r="O82" s="72" t="s">
        <v>59</v>
      </c>
      <c r="P82" s="72"/>
      <c r="Q82" s="72"/>
      <c r="R82" s="72" t="str">
        <f t="shared" si="12"/>
        <v/>
      </c>
      <c r="S82" s="63"/>
      <c r="T82" s="72" t="s">
        <v>59</v>
      </c>
      <c r="U82" s="109" t="str">
        <f>IF($J$1="November",Y81,"")</f>
        <v/>
      </c>
      <c r="V82" s="74"/>
      <c r="W82" s="109" t="str">
        <f t="shared" si="13"/>
        <v/>
      </c>
      <c r="X82" s="74"/>
      <c r="Y82" s="109" t="str">
        <f t="shared" si="14"/>
        <v/>
      </c>
      <c r="Z82" s="76"/>
    </row>
    <row r="83" spans="1:27" s="29" customFormat="1" ht="21" customHeight="1" x14ac:dyDescent="0.2">
      <c r="A83" s="30"/>
      <c r="B83" s="455"/>
      <c r="C83" s="455"/>
      <c r="D83" s="455"/>
      <c r="E83" s="455"/>
      <c r="F83" s="455"/>
      <c r="G83" s="455"/>
      <c r="H83" s="455"/>
      <c r="I83" s="455"/>
      <c r="J83" s="455"/>
      <c r="K83" s="455"/>
      <c r="L83" s="46"/>
      <c r="N83" s="71"/>
      <c r="O83" s="72" t="s">
        <v>60</v>
      </c>
      <c r="P83" s="72"/>
      <c r="Q83" s="72"/>
      <c r="R83" s="72" t="str">
        <f t="shared" si="12"/>
        <v/>
      </c>
      <c r="S83" s="63"/>
      <c r="T83" s="72" t="s">
        <v>60</v>
      </c>
      <c r="U83" s="109" t="str">
        <f>IF($J$1="December",Y82,"")</f>
        <v/>
      </c>
      <c r="V83" s="74"/>
      <c r="W83" s="109" t="str">
        <f t="shared" si="13"/>
        <v/>
      </c>
      <c r="X83" s="74"/>
      <c r="Y83" s="109" t="str">
        <f t="shared" si="14"/>
        <v/>
      </c>
      <c r="Z83" s="76"/>
    </row>
    <row r="84" spans="1:27" s="29" customFormat="1" ht="21" customHeight="1" thickBot="1" x14ac:dyDescent="0.25">
      <c r="A84" s="5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1"/>
      <c r="N84" s="77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9"/>
    </row>
    <row r="85" spans="1:27" s="29" customFormat="1" ht="21" customHeight="1" thickBot="1" x14ac:dyDescent="0.25"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7" s="29" customFormat="1" ht="21" customHeight="1" x14ac:dyDescent="0.2">
      <c r="A86" s="474" t="s">
        <v>42</v>
      </c>
      <c r="B86" s="475"/>
      <c r="C86" s="475"/>
      <c r="D86" s="475"/>
      <c r="E86" s="475"/>
      <c r="F86" s="475"/>
      <c r="G86" s="475"/>
      <c r="H86" s="475"/>
      <c r="I86" s="475"/>
      <c r="J86" s="475"/>
      <c r="K86" s="475"/>
      <c r="L86" s="476"/>
      <c r="M86" s="28"/>
      <c r="N86" s="64"/>
      <c r="O86" s="469" t="s">
        <v>44</v>
      </c>
      <c r="P86" s="470"/>
      <c r="Q86" s="470"/>
      <c r="R86" s="471"/>
      <c r="S86" s="65"/>
      <c r="T86" s="469" t="s">
        <v>45</v>
      </c>
      <c r="U86" s="470"/>
      <c r="V86" s="470"/>
      <c r="W86" s="470"/>
      <c r="X86" s="470"/>
      <c r="Y86" s="471"/>
      <c r="Z86" s="66"/>
      <c r="AA86" s="28"/>
    </row>
    <row r="87" spans="1:27" s="29" customFormat="1" ht="21" customHeight="1" x14ac:dyDescent="0.2">
      <c r="A87" s="30"/>
      <c r="C87" s="466" t="s">
        <v>92</v>
      </c>
      <c r="D87" s="466"/>
      <c r="E87" s="466"/>
      <c r="F87" s="466"/>
      <c r="G87" s="31" t="str">
        <f>$J$1</f>
        <v>October</v>
      </c>
      <c r="H87" s="467">
        <f>$K$1</f>
        <v>2022</v>
      </c>
      <c r="I87" s="467"/>
      <c r="K87" s="32"/>
      <c r="L87" s="33"/>
      <c r="M87" s="32"/>
      <c r="N87" s="67"/>
      <c r="O87" s="68" t="s">
        <v>55</v>
      </c>
      <c r="P87" s="68" t="s">
        <v>7</v>
      </c>
      <c r="Q87" s="68" t="s">
        <v>6</v>
      </c>
      <c r="R87" s="68" t="s">
        <v>56</v>
      </c>
      <c r="S87" s="69"/>
      <c r="T87" s="68" t="s">
        <v>55</v>
      </c>
      <c r="U87" s="68" t="s">
        <v>57</v>
      </c>
      <c r="V87" s="68" t="s">
        <v>22</v>
      </c>
      <c r="W87" s="68" t="s">
        <v>21</v>
      </c>
      <c r="X87" s="68" t="s">
        <v>23</v>
      </c>
      <c r="Y87" s="68" t="s">
        <v>61</v>
      </c>
      <c r="Z87" s="70"/>
      <c r="AA87" s="32"/>
    </row>
    <row r="88" spans="1:27" s="29" customFormat="1" ht="21" customHeight="1" x14ac:dyDescent="0.2">
      <c r="A88" s="30"/>
      <c r="D88" s="35"/>
      <c r="E88" s="35"/>
      <c r="F88" s="35"/>
      <c r="G88" s="35"/>
      <c r="H88" s="35"/>
      <c r="J88" s="36" t="s">
        <v>1</v>
      </c>
      <c r="K88" s="37">
        <v>15000</v>
      </c>
      <c r="L88" s="38"/>
      <c r="N88" s="71"/>
      <c r="O88" s="72" t="s">
        <v>47</v>
      </c>
      <c r="P88" s="72"/>
      <c r="Q88" s="72"/>
      <c r="R88" s="72"/>
      <c r="S88" s="73"/>
      <c r="T88" s="72" t="s">
        <v>47</v>
      </c>
      <c r="U88" s="74"/>
      <c r="V88" s="74"/>
      <c r="W88" s="74">
        <f>V88+U88</f>
        <v>0</v>
      </c>
      <c r="X88" s="74"/>
      <c r="Y88" s="74">
        <f>W88-X88</f>
        <v>0</v>
      </c>
      <c r="Z88" s="70"/>
    </row>
    <row r="89" spans="1:27" s="29" customFormat="1" ht="21" customHeight="1" x14ac:dyDescent="0.2">
      <c r="A89" s="30"/>
      <c r="B89" s="29" t="s">
        <v>0</v>
      </c>
      <c r="C89" s="40" t="s">
        <v>77</v>
      </c>
      <c r="H89" s="41"/>
      <c r="I89" s="35"/>
      <c r="L89" s="42"/>
      <c r="M89" s="28"/>
      <c r="N89" s="75"/>
      <c r="O89" s="72" t="s">
        <v>73</v>
      </c>
      <c r="P89" s="72"/>
      <c r="Q89" s="72"/>
      <c r="R89" s="72"/>
      <c r="S89" s="63"/>
      <c r="T89" s="72" t="s">
        <v>73</v>
      </c>
      <c r="U89" s="109" t="str">
        <f>IF($J$1="February",Y88,"")</f>
        <v/>
      </c>
      <c r="V89" s="74"/>
      <c r="W89" s="109" t="str">
        <f>IF(U89="","",U89+V89)</f>
        <v/>
      </c>
      <c r="X89" s="74"/>
      <c r="Y89" s="109" t="str">
        <f>IF(W89="","",W89-X89)</f>
        <v/>
      </c>
      <c r="Z89" s="76"/>
      <c r="AA89" s="28"/>
    </row>
    <row r="90" spans="1:27" s="29" customFormat="1" ht="21" customHeight="1" x14ac:dyDescent="0.2">
      <c r="A90" s="30"/>
      <c r="B90" s="44" t="s">
        <v>43</v>
      </c>
      <c r="C90" s="45"/>
      <c r="F90" s="468" t="s">
        <v>45</v>
      </c>
      <c r="G90" s="468"/>
      <c r="I90" s="468" t="s">
        <v>46</v>
      </c>
      <c r="J90" s="468"/>
      <c r="K90" s="468"/>
      <c r="L90" s="46"/>
      <c r="N90" s="71"/>
      <c r="O90" s="72" t="s">
        <v>48</v>
      </c>
      <c r="P90" s="72"/>
      <c r="Q90" s="72"/>
      <c r="R90" s="72" t="str">
        <f t="shared" ref="R90:R99" si="15">IF(Q90="","",R89-Q90)</f>
        <v/>
      </c>
      <c r="S90" s="63"/>
      <c r="T90" s="72" t="s">
        <v>48</v>
      </c>
      <c r="U90" s="109" t="str">
        <f>IF($J$1="March",Y89,"")</f>
        <v/>
      </c>
      <c r="V90" s="74"/>
      <c r="W90" s="109" t="str">
        <f t="shared" ref="W90:W99" si="16">IF(U90="","",U90+V90)</f>
        <v/>
      </c>
      <c r="X90" s="74"/>
      <c r="Y90" s="109" t="str">
        <f t="shared" ref="Y90:Y99" si="17">IF(W90="","",W90-X90)</f>
        <v/>
      </c>
      <c r="Z90" s="76"/>
    </row>
    <row r="91" spans="1:27" s="29" customFormat="1" ht="21" customHeight="1" x14ac:dyDescent="0.2">
      <c r="A91" s="30"/>
      <c r="H91" s="47"/>
      <c r="L91" s="34"/>
      <c r="N91" s="71"/>
      <c r="O91" s="72" t="s">
        <v>49</v>
      </c>
      <c r="P91" s="72"/>
      <c r="Q91" s="72"/>
      <c r="R91" s="72" t="str">
        <f t="shared" si="15"/>
        <v/>
      </c>
      <c r="S91" s="63"/>
      <c r="T91" s="72" t="s">
        <v>49</v>
      </c>
      <c r="U91" s="109" t="str">
        <f>IF($J$1="April",Y90,"")</f>
        <v/>
      </c>
      <c r="V91" s="74"/>
      <c r="W91" s="109" t="str">
        <f t="shared" si="16"/>
        <v/>
      </c>
      <c r="X91" s="74"/>
      <c r="Y91" s="109" t="str">
        <f t="shared" si="17"/>
        <v/>
      </c>
      <c r="Z91" s="76"/>
    </row>
    <row r="92" spans="1:27" s="29" customFormat="1" ht="21" customHeight="1" x14ac:dyDescent="0.2">
      <c r="A92" s="30"/>
      <c r="B92" s="472" t="s">
        <v>44</v>
      </c>
      <c r="C92" s="473"/>
      <c r="F92" s="48" t="s">
        <v>66</v>
      </c>
      <c r="G92" s="43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7"/>
      <c r="I92" s="49">
        <f>IF(C96&gt;=C95,$K$2,C94-C95+C96)</f>
        <v>31</v>
      </c>
      <c r="J92" s="50" t="s">
        <v>63</v>
      </c>
      <c r="K92" s="51">
        <f>K88/$K$2*I92</f>
        <v>15000</v>
      </c>
      <c r="L92" s="52"/>
      <c r="N92" s="71"/>
      <c r="O92" s="72" t="s">
        <v>50</v>
      </c>
      <c r="P92" s="72"/>
      <c r="Q92" s="72"/>
      <c r="R92" s="72" t="str">
        <f t="shared" si="15"/>
        <v/>
      </c>
      <c r="S92" s="63"/>
      <c r="T92" s="72" t="s">
        <v>50</v>
      </c>
      <c r="U92" s="109" t="str">
        <f>IF($J$1="May",Y91,"")</f>
        <v/>
      </c>
      <c r="V92" s="74"/>
      <c r="W92" s="109" t="str">
        <f t="shared" si="16"/>
        <v/>
      </c>
      <c r="X92" s="74"/>
      <c r="Y92" s="109" t="str">
        <f t="shared" si="17"/>
        <v/>
      </c>
      <c r="Z92" s="76"/>
    </row>
    <row r="93" spans="1:27" s="29" customFormat="1" ht="21" customHeight="1" x14ac:dyDescent="0.2">
      <c r="A93" s="30"/>
      <c r="B93" s="39"/>
      <c r="C93" s="39"/>
      <c r="F93" s="48" t="s">
        <v>22</v>
      </c>
      <c r="G93" s="43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7"/>
      <c r="I93" s="49"/>
      <c r="J93" s="50" t="s">
        <v>64</v>
      </c>
      <c r="K93" s="53">
        <f>K88/$K$2/8*I93</f>
        <v>0</v>
      </c>
      <c r="L93" s="54"/>
      <c r="N93" s="71"/>
      <c r="O93" s="72" t="s">
        <v>51</v>
      </c>
      <c r="P93" s="72"/>
      <c r="Q93" s="72"/>
      <c r="R93" s="72" t="str">
        <f t="shared" si="15"/>
        <v/>
      </c>
      <c r="S93" s="63"/>
      <c r="T93" s="72" t="s">
        <v>51</v>
      </c>
      <c r="U93" s="109" t="str">
        <f>IF($J$1="June",Y92,"")</f>
        <v/>
      </c>
      <c r="V93" s="74"/>
      <c r="W93" s="109" t="str">
        <f t="shared" si="16"/>
        <v/>
      </c>
      <c r="X93" s="74"/>
      <c r="Y93" s="109" t="str">
        <f t="shared" si="17"/>
        <v/>
      </c>
      <c r="Z93" s="76"/>
    </row>
    <row r="94" spans="1:27" s="29" customFormat="1" ht="21" customHeight="1" x14ac:dyDescent="0.2">
      <c r="A94" s="30"/>
      <c r="B94" s="48" t="s">
        <v>7</v>
      </c>
      <c r="C94" s="39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F94" s="48" t="s">
        <v>67</v>
      </c>
      <c r="G94" s="43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7"/>
      <c r="I94" s="456" t="s">
        <v>71</v>
      </c>
      <c r="J94" s="457"/>
      <c r="K94" s="53">
        <f>K92+K93</f>
        <v>15000</v>
      </c>
      <c r="L94" s="54"/>
      <c r="N94" s="71"/>
      <c r="O94" s="72" t="s">
        <v>52</v>
      </c>
      <c r="P94" s="72"/>
      <c r="Q94" s="72"/>
      <c r="R94" s="72" t="str">
        <f t="shared" si="15"/>
        <v/>
      </c>
      <c r="S94" s="63"/>
      <c r="T94" s="72" t="s">
        <v>52</v>
      </c>
      <c r="U94" s="109" t="str">
        <f>IF($J$1="July",Y93,"")</f>
        <v/>
      </c>
      <c r="V94" s="74"/>
      <c r="W94" s="109" t="str">
        <f t="shared" si="16"/>
        <v/>
      </c>
      <c r="X94" s="74"/>
      <c r="Y94" s="109" t="str">
        <f t="shared" si="17"/>
        <v/>
      </c>
      <c r="Z94" s="76"/>
    </row>
    <row r="95" spans="1:27" s="29" customFormat="1" ht="21" customHeight="1" x14ac:dyDescent="0.2">
      <c r="A95" s="30"/>
      <c r="B95" s="48" t="s">
        <v>6</v>
      </c>
      <c r="C95" s="39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F95" s="48" t="s">
        <v>23</v>
      </c>
      <c r="G95" s="43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7"/>
      <c r="I95" s="456" t="s">
        <v>72</v>
      </c>
      <c r="J95" s="457"/>
      <c r="K95" s="43">
        <f>G95</f>
        <v>0</v>
      </c>
      <c r="L95" s="55"/>
      <c r="N95" s="71"/>
      <c r="O95" s="72" t="s">
        <v>53</v>
      </c>
      <c r="P95" s="72"/>
      <c r="Q95" s="72"/>
      <c r="R95" s="72" t="str">
        <f t="shared" si="15"/>
        <v/>
      </c>
      <c r="S95" s="63"/>
      <c r="T95" s="72" t="s">
        <v>53</v>
      </c>
      <c r="U95" s="109" t="str">
        <f>IF($J$1="August",Y94,"")</f>
        <v/>
      </c>
      <c r="V95" s="74"/>
      <c r="W95" s="109" t="str">
        <f t="shared" si="16"/>
        <v/>
      </c>
      <c r="X95" s="74"/>
      <c r="Y95" s="109" t="str">
        <f t="shared" si="17"/>
        <v/>
      </c>
      <c r="Z95" s="76"/>
    </row>
    <row r="96" spans="1:27" s="29" customFormat="1" ht="21" customHeight="1" x14ac:dyDescent="0.2">
      <c r="A96" s="30"/>
      <c r="B96" s="56" t="s">
        <v>70</v>
      </c>
      <c r="C96" s="39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F96" s="48" t="s">
        <v>69</v>
      </c>
      <c r="G96" s="43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I96" s="458" t="s">
        <v>65</v>
      </c>
      <c r="J96" s="459"/>
      <c r="K96" s="57"/>
      <c r="L96" s="58"/>
      <c r="N96" s="71"/>
      <c r="O96" s="72" t="s">
        <v>58</v>
      </c>
      <c r="P96" s="72"/>
      <c r="Q96" s="72"/>
      <c r="R96" s="72" t="str">
        <f t="shared" si="15"/>
        <v/>
      </c>
      <c r="S96" s="63"/>
      <c r="T96" s="72" t="s">
        <v>58</v>
      </c>
      <c r="U96" s="109" t="str">
        <f>IF($J$1="September",Y95,"")</f>
        <v/>
      </c>
      <c r="V96" s="74"/>
      <c r="W96" s="109" t="str">
        <f t="shared" si="16"/>
        <v/>
      </c>
      <c r="X96" s="74"/>
      <c r="Y96" s="109" t="str">
        <f t="shared" si="17"/>
        <v/>
      </c>
      <c r="Z96" s="76"/>
    </row>
    <row r="97" spans="1:27" s="29" customFormat="1" ht="21" customHeight="1" x14ac:dyDescent="0.2">
      <c r="A97" s="30"/>
      <c r="L97" s="46"/>
      <c r="N97" s="71"/>
      <c r="O97" s="72" t="s">
        <v>54</v>
      </c>
      <c r="P97" s="72"/>
      <c r="Q97" s="72"/>
      <c r="R97" s="72" t="str">
        <f t="shared" si="15"/>
        <v/>
      </c>
      <c r="S97" s="63"/>
      <c r="T97" s="72" t="s">
        <v>54</v>
      </c>
      <c r="U97" s="109" t="str">
        <f>IF($J$1="October",Y96,"")</f>
        <v/>
      </c>
      <c r="V97" s="74"/>
      <c r="W97" s="109" t="str">
        <f t="shared" si="16"/>
        <v/>
      </c>
      <c r="X97" s="74"/>
      <c r="Y97" s="109" t="str">
        <f t="shared" si="17"/>
        <v/>
      </c>
      <c r="Z97" s="76"/>
    </row>
    <row r="98" spans="1:27" s="29" customFormat="1" ht="21" customHeight="1" x14ac:dyDescent="0.2">
      <c r="A98" s="30"/>
      <c r="B98" s="455" t="s">
        <v>94</v>
      </c>
      <c r="C98" s="455"/>
      <c r="D98" s="455"/>
      <c r="E98" s="455"/>
      <c r="F98" s="455"/>
      <c r="G98" s="455"/>
      <c r="H98" s="455"/>
      <c r="I98" s="455"/>
      <c r="J98" s="455"/>
      <c r="K98" s="455"/>
      <c r="L98" s="46"/>
      <c r="N98" s="71"/>
      <c r="O98" s="72" t="s">
        <v>59</v>
      </c>
      <c r="P98" s="72"/>
      <c r="Q98" s="72"/>
      <c r="R98" s="72" t="str">
        <f t="shared" si="15"/>
        <v/>
      </c>
      <c r="S98" s="63"/>
      <c r="T98" s="72" t="s">
        <v>59</v>
      </c>
      <c r="U98" s="109" t="str">
        <f>IF($J$1="November",Y97,"")</f>
        <v/>
      </c>
      <c r="V98" s="74"/>
      <c r="W98" s="109" t="str">
        <f t="shared" si="16"/>
        <v/>
      </c>
      <c r="X98" s="74"/>
      <c r="Y98" s="109" t="str">
        <f t="shared" si="17"/>
        <v/>
      </c>
      <c r="Z98" s="76"/>
    </row>
    <row r="99" spans="1:27" s="29" customFormat="1" ht="21" customHeight="1" x14ac:dyDescent="0.2">
      <c r="A99" s="30"/>
      <c r="B99" s="455"/>
      <c r="C99" s="455"/>
      <c r="D99" s="455"/>
      <c r="E99" s="455"/>
      <c r="F99" s="455"/>
      <c r="G99" s="455"/>
      <c r="H99" s="455"/>
      <c r="I99" s="455"/>
      <c r="J99" s="455"/>
      <c r="K99" s="455"/>
      <c r="L99" s="46"/>
      <c r="N99" s="71"/>
      <c r="O99" s="72" t="s">
        <v>60</v>
      </c>
      <c r="P99" s="72"/>
      <c r="Q99" s="72"/>
      <c r="R99" s="72" t="str">
        <f t="shared" si="15"/>
        <v/>
      </c>
      <c r="S99" s="63"/>
      <c r="T99" s="72" t="s">
        <v>60</v>
      </c>
      <c r="U99" s="109" t="str">
        <f>IF($J$1="December",Y98,"")</f>
        <v/>
      </c>
      <c r="V99" s="74"/>
      <c r="W99" s="109" t="str">
        <f t="shared" si="16"/>
        <v/>
      </c>
      <c r="X99" s="74"/>
      <c r="Y99" s="109" t="str">
        <f t="shared" si="17"/>
        <v/>
      </c>
      <c r="Z99" s="76"/>
    </row>
    <row r="100" spans="1:27" s="29" customFormat="1" ht="21" customHeight="1" thickBot="1" x14ac:dyDescent="0.25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1"/>
      <c r="N100" s="77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9"/>
    </row>
    <row r="101" spans="1:27" s="29" customFormat="1" ht="21" customHeight="1" thickBot="1" x14ac:dyDescent="0.25"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7" s="29" customFormat="1" ht="21" customHeight="1" x14ac:dyDescent="0.2">
      <c r="A102" s="474" t="s">
        <v>42</v>
      </c>
      <c r="B102" s="475"/>
      <c r="C102" s="475"/>
      <c r="D102" s="475"/>
      <c r="E102" s="475"/>
      <c r="F102" s="475"/>
      <c r="G102" s="475"/>
      <c r="H102" s="475"/>
      <c r="I102" s="475"/>
      <c r="J102" s="475"/>
      <c r="K102" s="475"/>
      <c r="L102" s="476"/>
      <c r="M102" s="28"/>
      <c r="N102" s="64"/>
      <c r="O102" s="469" t="s">
        <v>44</v>
      </c>
      <c r="P102" s="470"/>
      <c r="Q102" s="470"/>
      <c r="R102" s="471"/>
      <c r="S102" s="65"/>
      <c r="T102" s="469" t="s">
        <v>45</v>
      </c>
      <c r="U102" s="470"/>
      <c r="V102" s="470"/>
      <c r="W102" s="470"/>
      <c r="X102" s="470"/>
      <c r="Y102" s="471"/>
      <c r="Z102" s="66"/>
      <c r="AA102" s="28"/>
    </row>
    <row r="103" spans="1:27" s="29" customFormat="1" ht="21" customHeight="1" x14ac:dyDescent="0.2">
      <c r="A103" s="30"/>
      <c r="C103" s="466" t="s">
        <v>92</v>
      </c>
      <c r="D103" s="466"/>
      <c r="E103" s="466"/>
      <c r="F103" s="466"/>
      <c r="G103" s="31" t="str">
        <f>$J$1</f>
        <v>October</v>
      </c>
      <c r="H103" s="467">
        <f>$K$1</f>
        <v>2022</v>
      </c>
      <c r="I103" s="467"/>
      <c r="K103" s="32"/>
      <c r="L103" s="33"/>
      <c r="M103" s="32"/>
      <c r="N103" s="67"/>
      <c r="O103" s="68" t="s">
        <v>55</v>
      </c>
      <c r="P103" s="68" t="s">
        <v>7</v>
      </c>
      <c r="Q103" s="68" t="s">
        <v>6</v>
      </c>
      <c r="R103" s="68" t="s">
        <v>56</v>
      </c>
      <c r="S103" s="69"/>
      <c r="T103" s="68" t="s">
        <v>55</v>
      </c>
      <c r="U103" s="68" t="s">
        <v>57</v>
      </c>
      <c r="V103" s="68" t="s">
        <v>22</v>
      </c>
      <c r="W103" s="68" t="s">
        <v>21</v>
      </c>
      <c r="X103" s="68" t="s">
        <v>23</v>
      </c>
      <c r="Y103" s="68" t="s">
        <v>61</v>
      </c>
      <c r="Z103" s="70"/>
      <c r="AA103" s="32"/>
    </row>
    <row r="104" spans="1:27" s="29" customFormat="1" ht="21" customHeight="1" x14ac:dyDescent="0.2">
      <c r="A104" s="30"/>
      <c r="D104" s="35"/>
      <c r="E104" s="35"/>
      <c r="F104" s="35"/>
      <c r="G104" s="35"/>
      <c r="H104" s="35"/>
      <c r="J104" s="36" t="s">
        <v>1</v>
      </c>
      <c r="K104" s="37">
        <v>15000</v>
      </c>
      <c r="L104" s="38"/>
      <c r="N104" s="71"/>
      <c r="O104" s="72" t="s">
        <v>47</v>
      </c>
      <c r="P104" s="72"/>
      <c r="Q104" s="72"/>
      <c r="R104" s="72"/>
      <c r="S104" s="73"/>
      <c r="T104" s="72" t="s">
        <v>47</v>
      </c>
      <c r="U104" s="74"/>
      <c r="V104" s="74"/>
      <c r="W104" s="74">
        <f>V104+U104</f>
        <v>0</v>
      </c>
      <c r="X104" s="74"/>
      <c r="Y104" s="74">
        <f>W104-X104</f>
        <v>0</v>
      </c>
      <c r="Z104" s="70"/>
    </row>
    <row r="105" spans="1:27" s="29" customFormat="1" ht="21" customHeight="1" x14ac:dyDescent="0.2">
      <c r="A105" s="30"/>
      <c r="B105" s="29" t="s">
        <v>0</v>
      </c>
      <c r="C105" s="40" t="s">
        <v>8</v>
      </c>
      <c r="H105" s="41"/>
      <c r="I105" s="35"/>
      <c r="L105" s="42"/>
      <c r="M105" s="28"/>
      <c r="N105" s="75"/>
      <c r="O105" s="72" t="s">
        <v>73</v>
      </c>
      <c r="P105" s="72"/>
      <c r="Q105" s="72"/>
      <c r="R105" s="72"/>
      <c r="S105" s="63"/>
      <c r="T105" s="72" t="s">
        <v>73</v>
      </c>
      <c r="U105" s="109" t="str">
        <f>IF($J$1="February",Y104,"")</f>
        <v/>
      </c>
      <c r="V105" s="74"/>
      <c r="W105" s="109" t="str">
        <f>IF(U105="","",U105+V105)</f>
        <v/>
      </c>
      <c r="X105" s="74"/>
      <c r="Y105" s="109" t="str">
        <f>IF(W105="","",W105-X105)</f>
        <v/>
      </c>
      <c r="Z105" s="76"/>
      <c r="AA105" s="28"/>
    </row>
    <row r="106" spans="1:27" s="29" customFormat="1" ht="21" customHeight="1" x14ac:dyDescent="0.2">
      <c r="A106" s="30"/>
      <c r="B106" s="44" t="s">
        <v>43</v>
      </c>
      <c r="C106" s="45"/>
      <c r="F106" s="468" t="s">
        <v>45</v>
      </c>
      <c r="G106" s="468"/>
      <c r="I106" s="468" t="s">
        <v>46</v>
      </c>
      <c r="J106" s="468"/>
      <c r="K106" s="468"/>
      <c r="L106" s="46"/>
      <c r="N106" s="71"/>
      <c r="O106" s="72" t="s">
        <v>48</v>
      </c>
      <c r="P106" s="72"/>
      <c r="Q106" s="72"/>
      <c r="R106" s="72"/>
      <c r="S106" s="63"/>
      <c r="T106" s="72" t="s">
        <v>48</v>
      </c>
      <c r="U106" s="109" t="str">
        <f>IF($J$1="March",Y105,"")</f>
        <v/>
      </c>
      <c r="V106" s="74"/>
      <c r="W106" s="109" t="str">
        <f t="shared" ref="W106:W115" si="18">IF(U106="","",U106+V106)</f>
        <v/>
      </c>
      <c r="X106" s="74"/>
      <c r="Y106" s="109" t="str">
        <f t="shared" ref="Y106:Y115" si="19">IF(W106="","",W106-X106)</f>
        <v/>
      </c>
      <c r="Z106" s="76"/>
    </row>
    <row r="107" spans="1:27" s="29" customFormat="1" ht="21" customHeight="1" x14ac:dyDescent="0.2">
      <c r="A107" s="30"/>
      <c r="H107" s="47"/>
      <c r="L107" s="34"/>
      <c r="N107" s="71"/>
      <c r="O107" s="72" t="s">
        <v>49</v>
      </c>
      <c r="P107" s="72"/>
      <c r="Q107" s="72"/>
      <c r="R107" s="72" t="str">
        <f t="shared" ref="R107:R115" si="20">IF(Q107="","",R106-Q107)</f>
        <v/>
      </c>
      <c r="S107" s="63"/>
      <c r="T107" s="72" t="s">
        <v>49</v>
      </c>
      <c r="U107" s="109" t="str">
        <f>IF($J$1="April",Y106,"")</f>
        <v/>
      </c>
      <c r="V107" s="74"/>
      <c r="W107" s="109" t="str">
        <f t="shared" si="18"/>
        <v/>
      </c>
      <c r="X107" s="74"/>
      <c r="Y107" s="109" t="str">
        <f t="shared" si="19"/>
        <v/>
      </c>
      <c r="Z107" s="76"/>
    </row>
    <row r="108" spans="1:27" s="29" customFormat="1" ht="21" customHeight="1" x14ac:dyDescent="0.2">
      <c r="A108" s="30"/>
      <c r="B108" s="472" t="s">
        <v>44</v>
      </c>
      <c r="C108" s="473"/>
      <c r="F108" s="48" t="s">
        <v>66</v>
      </c>
      <c r="G108" s="43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7"/>
      <c r="I108" s="49">
        <f>IF(C112&gt;=C111,$K$2,C110-C111+C112)</f>
        <v>31</v>
      </c>
      <c r="J108" s="50" t="s">
        <v>63</v>
      </c>
      <c r="K108" s="51">
        <f>K104/$K$2*I108</f>
        <v>15000</v>
      </c>
      <c r="L108" s="52"/>
      <c r="N108" s="71"/>
      <c r="O108" s="72" t="s">
        <v>50</v>
      </c>
      <c r="P108" s="72"/>
      <c r="Q108" s="72"/>
      <c r="R108" s="72" t="str">
        <f t="shared" si="20"/>
        <v/>
      </c>
      <c r="S108" s="63"/>
      <c r="T108" s="72" t="s">
        <v>50</v>
      </c>
      <c r="U108" s="109" t="str">
        <f>IF($J$1="May",Y107,"")</f>
        <v/>
      </c>
      <c r="V108" s="74"/>
      <c r="W108" s="109" t="str">
        <f t="shared" si="18"/>
        <v/>
      </c>
      <c r="X108" s="74"/>
      <c r="Y108" s="109" t="str">
        <f t="shared" si="19"/>
        <v/>
      </c>
      <c r="Z108" s="76"/>
    </row>
    <row r="109" spans="1:27" s="29" customFormat="1" ht="21" customHeight="1" x14ac:dyDescent="0.2">
      <c r="A109" s="30"/>
      <c r="B109" s="39"/>
      <c r="C109" s="39"/>
      <c r="F109" s="48" t="s">
        <v>22</v>
      </c>
      <c r="G109" s="43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7"/>
      <c r="I109" s="49"/>
      <c r="J109" s="50" t="s">
        <v>64</v>
      </c>
      <c r="K109" s="53">
        <f>K104/$K$2/8*I109</f>
        <v>0</v>
      </c>
      <c r="L109" s="54"/>
      <c r="N109" s="71"/>
      <c r="O109" s="72" t="s">
        <v>51</v>
      </c>
      <c r="P109" s="72"/>
      <c r="Q109" s="72"/>
      <c r="R109" s="72" t="str">
        <f t="shared" si="20"/>
        <v/>
      </c>
      <c r="S109" s="63"/>
      <c r="T109" s="72" t="s">
        <v>51</v>
      </c>
      <c r="U109" s="109" t="str">
        <f>IF($J$1="June",Y108,"")</f>
        <v/>
      </c>
      <c r="V109" s="74"/>
      <c r="W109" s="109" t="str">
        <f t="shared" si="18"/>
        <v/>
      </c>
      <c r="X109" s="74"/>
      <c r="Y109" s="109" t="str">
        <f t="shared" si="19"/>
        <v/>
      </c>
      <c r="Z109" s="76"/>
    </row>
    <row r="110" spans="1:27" s="29" customFormat="1" ht="21" customHeight="1" x14ac:dyDescent="0.2">
      <c r="A110" s="30"/>
      <c r="B110" s="48" t="s">
        <v>7</v>
      </c>
      <c r="C110" s="39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F110" s="48" t="s">
        <v>67</v>
      </c>
      <c r="G110" s="43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7"/>
      <c r="I110" s="456" t="s">
        <v>71</v>
      </c>
      <c r="J110" s="457"/>
      <c r="K110" s="53">
        <f>K108+K109</f>
        <v>15000</v>
      </c>
      <c r="L110" s="54"/>
      <c r="N110" s="71"/>
      <c r="O110" s="72" t="s">
        <v>52</v>
      </c>
      <c r="P110" s="72"/>
      <c r="Q110" s="72"/>
      <c r="R110" s="72" t="str">
        <f t="shared" si="20"/>
        <v/>
      </c>
      <c r="S110" s="63"/>
      <c r="T110" s="72" t="s">
        <v>52</v>
      </c>
      <c r="U110" s="109" t="str">
        <f>IF($J$1="July",Y109,"")</f>
        <v/>
      </c>
      <c r="V110" s="74"/>
      <c r="W110" s="109" t="str">
        <f t="shared" si="18"/>
        <v/>
      </c>
      <c r="X110" s="74"/>
      <c r="Y110" s="109" t="str">
        <f t="shared" si="19"/>
        <v/>
      </c>
      <c r="Z110" s="76"/>
    </row>
    <row r="111" spans="1:27" s="29" customFormat="1" ht="21" customHeight="1" x14ac:dyDescent="0.2">
      <c r="A111" s="30"/>
      <c r="B111" s="48" t="s">
        <v>6</v>
      </c>
      <c r="C111" s="39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F111" s="48" t="s">
        <v>23</v>
      </c>
      <c r="G111" s="43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7"/>
      <c r="I111" s="456" t="s">
        <v>72</v>
      </c>
      <c r="J111" s="457"/>
      <c r="K111" s="43">
        <f>G111</f>
        <v>0</v>
      </c>
      <c r="L111" s="55"/>
      <c r="N111" s="71"/>
      <c r="O111" s="72" t="s">
        <v>53</v>
      </c>
      <c r="P111" s="72"/>
      <c r="Q111" s="72"/>
      <c r="R111" s="72" t="str">
        <f t="shared" si="20"/>
        <v/>
      </c>
      <c r="S111" s="63"/>
      <c r="T111" s="72" t="s">
        <v>53</v>
      </c>
      <c r="U111" s="109" t="str">
        <f>IF($J$1="August",Y110,"")</f>
        <v/>
      </c>
      <c r="V111" s="74"/>
      <c r="W111" s="109" t="str">
        <f t="shared" si="18"/>
        <v/>
      </c>
      <c r="X111" s="74"/>
      <c r="Y111" s="109" t="str">
        <f t="shared" si="19"/>
        <v/>
      </c>
      <c r="Z111" s="76"/>
    </row>
    <row r="112" spans="1:27" s="29" customFormat="1" ht="21" customHeight="1" x14ac:dyDescent="0.2">
      <c r="A112" s="30"/>
      <c r="B112" s="56" t="s">
        <v>70</v>
      </c>
      <c r="C112" s="39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F112" s="48" t="s">
        <v>69</v>
      </c>
      <c r="G112" s="43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I112" s="458" t="s">
        <v>65</v>
      </c>
      <c r="J112" s="459"/>
      <c r="K112" s="57"/>
      <c r="L112" s="58"/>
      <c r="N112" s="71"/>
      <c r="O112" s="72" t="s">
        <v>58</v>
      </c>
      <c r="P112" s="72"/>
      <c r="Q112" s="72"/>
      <c r="R112" s="72" t="str">
        <f t="shared" si="20"/>
        <v/>
      </c>
      <c r="S112" s="63"/>
      <c r="T112" s="72" t="s">
        <v>58</v>
      </c>
      <c r="U112" s="109" t="str">
        <f>IF($J$1="September",Y111,"")</f>
        <v/>
      </c>
      <c r="V112" s="74"/>
      <c r="W112" s="109" t="str">
        <f t="shared" si="18"/>
        <v/>
      </c>
      <c r="X112" s="74"/>
      <c r="Y112" s="109" t="str">
        <f t="shared" si="19"/>
        <v/>
      </c>
      <c r="Z112" s="76"/>
    </row>
    <row r="113" spans="1:27" s="29" customFormat="1" ht="21" customHeight="1" x14ac:dyDescent="0.2">
      <c r="A113" s="30"/>
      <c r="L113" s="46"/>
      <c r="N113" s="71"/>
      <c r="O113" s="72" t="s">
        <v>54</v>
      </c>
      <c r="P113" s="72"/>
      <c r="Q113" s="72"/>
      <c r="R113" s="72" t="str">
        <f t="shared" si="20"/>
        <v/>
      </c>
      <c r="S113" s="63"/>
      <c r="T113" s="72" t="s">
        <v>54</v>
      </c>
      <c r="U113" s="109" t="str">
        <f>IF($J$1="October",Y112,"")</f>
        <v/>
      </c>
      <c r="V113" s="74"/>
      <c r="W113" s="109" t="str">
        <f t="shared" si="18"/>
        <v/>
      </c>
      <c r="X113" s="74"/>
      <c r="Y113" s="109" t="str">
        <f t="shared" si="19"/>
        <v/>
      </c>
      <c r="Z113" s="76"/>
    </row>
    <row r="114" spans="1:27" s="29" customFormat="1" ht="21" customHeight="1" x14ac:dyDescent="0.2">
      <c r="A114" s="30"/>
      <c r="B114" s="455" t="s">
        <v>94</v>
      </c>
      <c r="C114" s="455"/>
      <c r="D114" s="455"/>
      <c r="E114" s="455"/>
      <c r="F114" s="455"/>
      <c r="G114" s="455"/>
      <c r="H114" s="455"/>
      <c r="I114" s="455"/>
      <c r="J114" s="455"/>
      <c r="K114" s="455"/>
      <c r="L114" s="46"/>
      <c r="N114" s="71"/>
      <c r="O114" s="72" t="s">
        <v>59</v>
      </c>
      <c r="P114" s="72"/>
      <c r="Q114" s="72"/>
      <c r="R114" s="72" t="str">
        <f t="shared" si="20"/>
        <v/>
      </c>
      <c r="S114" s="63"/>
      <c r="T114" s="72" t="s">
        <v>59</v>
      </c>
      <c r="U114" s="109" t="str">
        <f>IF($J$1="November",Y113,"")</f>
        <v/>
      </c>
      <c r="V114" s="74"/>
      <c r="W114" s="109" t="str">
        <f t="shared" si="18"/>
        <v/>
      </c>
      <c r="X114" s="74"/>
      <c r="Y114" s="109" t="str">
        <f t="shared" si="19"/>
        <v/>
      </c>
      <c r="Z114" s="76"/>
    </row>
    <row r="115" spans="1:27" s="29" customFormat="1" ht="21" customHeight="1" x14ac:dyDescent="0.2">
      <c r="A115" s="30"/>
      <c r="B115" s="455"/>
      <c r="C115" s="455"/>
      <c r="D115" s="455"/>
      <c r="E115" s="455"/>
      <c r="F115" s="455"/>
      <c r="G115" s="455"/>
      <c r="H115" s="455"/>
      <c r="I115" s="455"/>
      <c r="J115" s="455"/>
      <c r="K115" s="455"/>
      <c r="L115" s="46"/>
      <c r="N115" s="71"/>
      <c r="O115" s="72" t="s">
        <v>60</v>
      </c>
      <c r="P115" s="72"/>
      <c r="Q115" s="72"/>
      <c r="R115" s="72" t="str">
        <f t="shared" si="20"/>
        <v/>
      </c>
      <c r="S115" s="63"/>
      <c r="T115" s="72" t="s">
        <v>60</v>
      </c>
      <c r="U115" s="109" t="str">
        <f>IF($J$1="December",Y114,"")</f>
        <v/>
      </c>
      <c r="V115" s="74"/>
      <c r="W115" s="109" t="str">
        <f t="shared" si="18"/>
        <v/>
      </c>
      <c r="X115" s="74"/>
      <c r="Y115" s="109" t="str">
        <f t="shared" si="19"/>
        <v/>
      </c>
      <c r="Z115" s="76"/>
    </row>
    <row r="116" spans="1:27" s="29" customFormat="1" ht="21" customHeight="1" thickBot="1" x14ac:dyDescent="0.25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1"/>
      <c r="N116" s="77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9"/>
    </row>
    <row r="117" spans="1:27" s="29" customFormat="1" ht="21" customHeight="1" x14ac:dyDescent="0.2"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7" s="29" customFormat="1" ht="21" customHeight="1" thickBot="1" x14ac:dyDescent="0.25"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7" s="29" customFormat="1" ht="21" customHeight="1" x14ac:dyDescent="0.2">
      <c r="A119" s="500" t="s">
        <v>42</v>
      </c>
      <c r="B119" s="501"/>
      <c r="C119" s="501"/>
      <c r="D119" s="501"/>
      <c r="E119" s="501"/>
      <c r="F119" s="501"/>
      <c r="G119" s="501"/>
      <c r="H119" s="501"/>
      <c r="I119" s="501"/>
      <c r="J119" s="501"/>
      <c r="K119" s="501"/>
      <c r="L119" s="502"/>
      <c r="M119" s="28"/>
      <c r="N119" s="64"/>
      <c r="O119" s="469" t="s">
        <v>44</v>
      </c>
      <c r="P119" s="470"/>
      <c r="Q119" s="470"/>
      <c r="R119" s="471"/>
      <c r="S119" s="65"/>
      <c r="T119" s="469" t="s">
        <v>45</v>
      </c>
      <c r="U119" s="470"/>
      <c r="V119" s="470"/>
      <c r="W119" s="470"/>
      <c r="X119" s="470"/>
      <c r="Y119" s="471"/>
      <c r="Z119" s="66"/>
      <c r="AA119" s="28"/>
    </row>
    <row r="120" spans="1:27" s="29" customFormat="1" ht="21" customHeight="1" x14ac:dyDescent="0.2">
      <c r="A120" s="30"/>
      <c r="C120" s="466" t="s">
        <v>92</v>
      </c>
      <c r="D120" s="466"/>
      <c r="E120" s="466"/>
      <c r="F120" s="466"/>
      <c r="G120" s="31" t="str">
        <f>$J$1</f>
        <v>October</v>
      </c>
      <c r="H120" s="467">
        <f>$K$1</f>
        <v>2022</v>
      </c>
      <c r="I120" s="467"/>
      <c r="K120" s="32"/>
      <c r="L120" s="33"/>
      <c r="M120" s="32"/>
      <c r="N120" s="67"/>
      <c r="O120" s="68" t="s">
        <v>55</v>
      </c>
      <c r="P120" s="68" t="s">
        <v>7</v>
      </c>
      <c r="Q120" s="68" t="s">
        <v>6</v>
      </c>
      <c r="R120" s="68" t="s">
        <v>56</v>
      </c>
      <c r="S120" s="69"/>
      <c r="T120" s="68" t="s">
        <v>55</v>
      </c>
      <c r="U120" s="68" t="s">
        <v>57</v>
      </c>
      <c r="V120" s="68" t="s">
        <v>22</v>
      </c>
      <c r="W120" s="68" t="s">
        <v>21</v>
      </c>
      <c r="X120" s="68" t="s">
        <v>23</v>
      </c>
      <c r="Y120" s="68" t="s">
        <v>61</v>
      </c>
      <c r="Z120" s="70"/>
      <c r="AA120" s="32"/>
    </row>
    <row r="121" spans="1:27" s="29" customFormat="1" ht="21" customHeight="1" x14ac:dyDescent="0.2">
      <c r="A121" s="30"/>
      <c r="D121" s="35"/>
      <c r="E121" s="35"/>
      <c r="F121" s="35"/>
      <c r="G121" s="35"/>
      <c r="H121" s="35"/>
      <c r="J121" s="36" t="s">
        <v>1</v>
      </c>
      <c r="K121" s="37">
        <f>14500+1500</f>
        <v>16000</v>
      </c>
      <c r="L121" s="38"/>
      <c r="N121" s="71"/>
      <c r="O121" s="72" t="s">
        <v>47</v>
      </c>
      <c r="P121" s="72">
        <v>31</v>
      </c>
      <c r="Q121" s="72">
        <v>0</v>
      </c>
      <c r="R121" s="72"/>
      <c r="S121" s="73"/>
      <c r="T121" s="72" t="s">
        <v>47</v>
      </c>
      <c r="U121" s="74"/>
      <c r="V121" s="74">
        <v>1000</v>
      </c>
      <c r="W121" s="74">
        <f>V121+U121</f>
        <v>1000</v>
      </c>
      <c r="X121" s="74"/>
      <c r="Y121" s="74">
        <f>W121-X121</f>
        <v>1000</v>
      </c>
      <c r="Z121" s="70"/>
    </row>
    <row r="122" spans="1:27" s="29" customFormat="1" ht="21" customHeight="1" x14ac:dyDescent="0.2">
      <c r="A122" s="30"/>
      <c r="B122" s="29" t="s">
        <v>0</v>
      </c>
      <c r="C122" s="40" t="s">
        <v>231</v>
      </c>
      <c r="H122" s="41"/>
      <c r="I122" s="35"/>
      <c r="L122" s="42"/>
      <c r="M122" s="28"/>
      <c r="N122" s="75"/>
      <c r="O122" s="72" t="s">
        <v>73</v>
      </c>
      <c r="P122" s="72"/>
      <c r="Q122" s="72"/>
      <c r="R122" s="72"/>
      <c r="S122" s="63"/>
      <c r="T122" s="72" t="s">
        <v>73</v>
      </c>
      <c r="U122" s="109">
        <f>Y121</f>
        <v>1000</v>
      </c>
      <c r="V122" s="74"/>
      <c r="W122" s="74">
        <f>V122+U122</f>
        <v>1000</v>
      </c>
      <c r="X122" s="74">
        <v>1000</v>
      </c>
      <c r="Y122" s="109">
        <f>IF(W122="","",W122-X122)</f>
        <v>0</v>
      </c>
      <c r="Z122" s="76"/>
      <c r="AA122" s="28"/>
    </row>
    <row r="123" spans="1:27" s="29" customFormat="1" ht="21" customHeight="1" x14ac:dyDescent="0.2">
      <c r="A123" s="30"/>
      <c r="B123" s="44" t="s">
        <v>43</v>
      </c>
      <c r="C123" s="45"/>
      <c r="F123" s="468" t="s">
        <v>45</v>
      </c>
      <c r="G123" s="468"/>
      <c r="I123" s="468" t="s">
        <v>46</v>
      </c>
      <c r="J123" s="468"/>
      <c r="K123" s="468"/>
      <c r="L123" s="46"/>
      <c r="N123" s="71"/>
      <c r="O123" s="72" t="s">
        <v>48</v>
      </c>
      <c r="P123" s="72"/>
      <c r="Q123" s="72"/>
      <c r="R123" s="72" t="str">
        <f t="shared" ref="R123:R132" si="21">IF(Q123="","",R122-Q123)</f>
        <v/>
      </c>
      <c r="S123" s="63"/>
      <c r="T123" s="72" t="s">
        <v>48</v>
      </c>
      <c r="U123" s="109">
        <f>Y122</f>
        <v>0</v>
      </c>
      <c r="V123" s="74">
        <v>1000</v>
      </c>
      <c r="W123" s="74">
        <f>V123+U123</f>
        <v>1000</v>
      </c>
      <c r="X123" s="74">
        <v>1000</v>
      </c>
      <c r="Y123" s="109">
        <f t="shared" ref="Y123:Y132" si="22">IF(W123="","",W123-X123)</f>
        <v>0</v>
      </c>
      <c r="Z123" s="76"/>
    </row>
    <row r="124" spans="1:27" s="29" customFormat="1" ht="21" customHeight="1" x14ac:dyDescent="0.2">
      <c r="A124" s="30"/>
      <c r="H124" s="47"/>
      <c r="L124" s="34"/>
      <c r="N124" s="71"/>
      <c r="O124" s="72" t="s">
        <v>49</v>
      </c>
      <c r="P124" s="72"/>
      <c r="Q124" s="72"/>
      <c r="R124" s="72" t="str">
        <f t="shared" si="21"/>
        <v/>
      </c>
      <c r="S124" s="63"/>
      <c r="T124" s="72" t="s">
        <v>49</v>
      </c>
      <c r="U124" s="109">
        <f>Y123</f>
        <v>0</v>
      </c>
      <c r="V124" s="74">
        <f>1000+2000</f>
        <v>3000</v>
      </c>
      <c r="W124" s="109">
        <f t="shared" ref="W124:W132" si="23">IF(U124="","",U124+V124)</f>
        <v>3000</v>
      </c>
      <c r="X124" s="74">
        <v>1000</v>
      </c>
      <c r="Y124" s="109">
        <f t="shared" si="22"/>
        <v>2000</v>
      </c>
      <c r="Z124" s="76"/>
    </row>
    <row r="125" spans="1:27" s="29" customFormat="1" ht="21" customHeight="1" x14ac:dyDescent="0.2">
      <c r="A125" s="30"/>
      <c r="B125" s="472" t="s">
        <v>44</v>
      </c>
      <c r="C125" s="473"/>
      <c r="F125" s="48" t="s">
        <v>66</v>
      </c>
      <c r="G125" s="43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7"/>
      <c r="I125" s="49">
        <f>IF(C129&gt;=C128,$K$2,C127-C128+C129)</f>
        <v>31</v>
      </c>
      <c r="J125" s="50" t="s">
        <v>63</v>
      </c>
      <c r="K125" s="51">
        <f>K121/$K$2*I125</f>
        <v>16000</v>
      </c>
      <c r="L125" s="52"/>
      <c r="N125" s="71"/>
      <c r="O125" s="72" t="s">
        <v>50</v>
      </c>
      <c r="P125" s="72"/>
      <c r="Q125" s="72"/>
      <c r="R125" s="72" t="str">
        <f t="shared" si="21"/>
        <v/>
      </c>
      <c r="S125" s="63"/>
      <c r="T125" s="72" t="s">
        <v>50</v>
      </c>
      <c r="U125" s="109">
        <f>Y124</f>
        <v>2000</v>
      </c>
      <c r="V125" s="74"/>
      <c r="W125" s="109">
        <f t="shared" si="23"/>
        <v>2000</v>
      </c>
      <c r="X125" s="74">
        <v>2000</v>
      </c>
      <c r="Y125" s="109">
        <f t="shared" si="22"/>
        <v>0</v>
      </c>
      <c r="Z125" s="76"/>
    </row>
    <row r="126" spans="1:27" s="29" customFormat="1" ht="21" customHeight="1" x14ac:dyDescent="0.2">
      <c r="A126" s="30"/>
      <c r="B126" s="39"/>
      <c r="C126" s="39"/>
      <c r="F126" s="48" t="s">
        <v>22</v>
      </c>
      <c r="G126" s="43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5000</v>
      </c>
      <c r="H126" s="47"/>
      <c r="I126" s="49"/>
      <c r="J126" s="50" t="s">
        <v>64</v>
      </c>
      <c r="K126" s="53">
        <f>K121/$K$2/8*I126</f>
        <v>0</v>
      </c>
      <c r="L126" s="54"/>
      <c r="N126" s="71"/>
      <c r="O126" s="72" t="s">
        <v>51</v>
      </c>
      <c r="P126" s="72"/>
      <c r="Q126" s="72"/>
      <c r="R126" s="72">
        <v>0</v>
      </c>
      <c r="S126" s="63"/>
      <c r="T126" s="72" t="s">
        <v>51</v>
      </c>
      <c r="U126" s="109">
        <f>Y125</f>
        <v>0</v>
      </c>
      <c r="V126" s="74"/>
      <c r="W126" s="109">
        <f t="shared" si="23"/>
        <v>0</v>
      </c>
      <c r="X126" s="74"/>
      <c r="Y126" s="109">
        <f t="shared" si="22"/>
        <v>0</v>
      </c>
      <c r="Z126" s="76"/>
    </row>
    <row r="127" spans="1:27" s="29" customFormat="1" ht="21" customHeight="1" x14ac:dyDescent="0.2">
      <c r="A127" s="30"/>
      <c r="B127" s="48" t="s">
        <v>7</v>
      </c>
      <c r="C127" s="39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F127" s="48" t="s">
        <v>67</v>
      </c>
      <c r="G127" s="43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5000</v>
      </c>
      <c r="H127" s="47"/>
      <c r="I127" s="456" t="s">
        <v>71</v>
      </c>
      <c r="J127" s="457"/>
      <c r="K127" s="53">
        <f>K125+K126</f>
        <v>16000</v>
      </c>
      <c r="L127" s="54"/>
      <c r="N127" s="71"/>
      <c r="O127" s="72" t="s">
        <v>52</v>
      </c>
      <c r="P127" s="72"/>
      <c r="Q127" s="72"/>
      <c r="R127" s="72" t="str">
        <f t="shared" si="21"/>
        <v/>
      </c>
      <c r="S127" s="63"/>
      <c r="T127" s="72" t="s">
        <v>52</v>
      </c>
      <c r="U127" s="109">
        <f t="shared" ref="U127:U130" si="24">Y126</f>
        <v>0</v>
      </c>
      <c r="V127" s="74"/>
      <c r="W127" s="109">
        <f t="shared" si="23"/>
        <v>0</v>
      </c>
      <c r="X127" s="74"/>
      <c r="Y127" s="109">
        <f t="shared" si="22"/>
        <v>0</v>
      </c>
      <c r="Z127" s="76"/>
    </row>
    <row r="128" spans="1:27" s="29" customFormat="1" ht="21" customHeight="1" x14ac:dyDescent="0.2">
      <c r="A128" s="30"/>
      <c r="B128" s="48" t="s">
        <v>6</v>
      </c>
      <c r="C128" s="39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F128" s="48" t="s">
        <v>23</v>
      </c>
      <c r="G128" s="43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47"/>
      <c r="I128" s="456" t="s">
        <v>72</v>
      </c>
      <c r="J128" s="457"/>
      <c r="K128" s="43">
        <f>G128</f>
        <v>0</v>
      </c>
      <c r="L128" s="55"/>
      <c r="N128" s="71"/>
      <c r="O128" s="72" t="s">
        <v>53</v>
      </c>
      <c r="P128" s="72"/>
      <c r="Q128" s="72"/>
      <c r="R128" s="72" t="str">
        <f t="shared" si="21"/>
        <v/>
      </c>
      <c r="S128" s="63"/>
      <c r="T128" s="72" t="s">
        <v>53</v>
      </c>
      <c r="U128" s="109">
        <f t="shared" si="24"/>
        <v>0</v>
      </c>
      <c r="V128" s="74"/>
      <c r="W128" s="109">
        <f t="shared" si="23"/>
        <v>0</v>
      </c>
      <c r="X128" s="74"/>
      <c r="Y128" s="109">
        <f t="shared" si="22"/>
        <v>0</v>
      </c>
      <c r="Z128" s="76"/>
    </row>
    <row r="129" spans="1:27" s="29" customFormat="1" ht="21" customHeight="1" x14ac:dyDescent="0.2">
      <c r="A129" s="30"/>
      <c r="B129" s="56" t="s">
        <v>70</v>
      </c>
      <c r="C129" s="39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F129" s="48" t="s">
        <v>69</v>
      </c>
      <c r="G129" s="43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5000</v>
      </c>
      <c r="I129" s="458" t="s">
        <v>65</v>
      </c>
      <c r="J129" s="459"/>
      <c r="K129" s="57">
        <f>K127-K128</f>
        <v>16000</v>
      </c>
      <c r="L129" s="58"/>
      <c r="N129" s="71"/>
      <c r="O129" s="72" t="s">
        <v>58</v>
      </c>
      <c r="P129" s="72"/>
      <c r="Q129" s="72"/>
      <c r="R129" s="72" t="str">
        <f t="shared" si="21"/>
        <v/>
      </c>
      <c r="S129" s="63"/>
      <c r="T129" s="72" t="s">
        <v>58</v>
      </c>
      <c r="U129" s="109">
        <f t="shared" si="24"/>
        <v>0</v>
      </c>
      <c r="V129" s="74"/>
      <c r="W129" s="109">
        <f t="shared" si="23"/>
        <v>0</v>
      </c>
      <c r="X129" s="74"/>
      <c r="Y129" s="109">
        <f t="shared" si="22"/>
        <v>0</v>
      </c>
      <c r="Z129" s="76"/>
    </row>
    <row r="130" spans="1:27" s="29" customFormat="1" ht="21" customHeight="1" x14ac:dyDescent="0.2">
      <c r="A130" s="30"/>
      <c r="K130" s="113"/>
      <c r="L130" s="46"/>
      <c r="N130" s="71"/>
      <c r="O130" s="72" t="s">
        <v>54</v>
      </c>
      <c r="P130" s="72"/>
      <c r="Q130" s="72">
        <v>0</v>
      </c>
      <c r="R130" s="72">
        <v>0</v>
      </c>
      <c r="S130" s="63"/>
      <c r="T130" s="72" t="s">
        <v>54</v>
      </c>
      <c r="U130" s="109">
        <f t="shared" si="24"/>
        <v>0</v>
      </c>
      <c r="V130" s="74">
        <v>5000</v>
      </c>
      <c r="W130" s="109">
        <f t="shared" si="23"/>
        <v>5000</v>
      </c>
      <c r="X130" s="74"/>
      <c r="Y130" s="109">
        <f t="shared" si="22"/>
        <v>5000</v>
      </c>
      <c r="Z130" s="76"/>
    </row>
    <row r="131" spans="1:27" s="29" customFormat="1" ht="21" customHeight="1" x14ac:dyDescent="0.2">
      <c r="A131" s="30"/>
      <c r="B131" s="455" t="s">
        <v>94</v>
      </c>
      <c r="C131" s="455"/>
      <c r="D131" s="455"/>
      <c r="E131" s="455"/>
      <c r="F131" s="455"/>
      <c r="G131" s="455"/>
      <c r="H131" s="455"/>
      <c r="I131" s="455"/>
      <c r="J131" s="455"/>
      <c r="K131" s="455"/>
      <c r="L131" s="46"/>
      <c r="N131" s="71"/>
      <c r="O131" s="72" t="s">
        <v>59</v>
      </c>
      <c r="P131" s="72"/>
      <c r="Q131" s="72"/>
      <c r="R131" s="72" t="str">
        <f t="shared" si="21"/>
        <v/>
      </c>
      <c r="S131" s="63"/>
      <c r="T131" s="72" t="s">
        <v>59</v>
      </c>
      <c r="U131" s="109"/>
      <c r="V131" s="74"/>
      <c r="W131" s="109" t="str">
        <f t="shared" si="23"/>
        <v/>
      </c>
      <c r="X131" s="74"/>
      <c r="Y131" s="109" t="str">
        <f t="shared" si="22"/>
        <v/>
      </c>
      <c r="Z131" s="76"/>
    </row>
    <row r="132" spans="1:27" s="29" customFormat="1" ht="21" customHeight="1" x14ac:dyDescent="0.2">
      <c r="A132" s="30"/>
      <c r="B132" s="455"/>
      <c r="C132" s="455"/>
      <c r="D132" s="455"/>
      <c r="E132" s="455"/>
      <c r="F132" s="455"/>
      <c r="G132" s="455"/>
      <c r="H132" s="455"/>
      <c r="I132" s="455"/>
      <c r="J132" s="455"/>
      <c r="K132" s="455"/>
      <c r="L132" s="46"/>
      <c r="N132" s="71"/>
      <c r="O132" s="72" t="s">
        <v>60</v>
      </c>
      <c r="P132" s="72"/>
      <c r="Q132" s="72"/>
      <c r="R132" s="72" t="str">
        <f t="shared" si="21"/>
        <v/>
      </c>
      <c r="S132" s="63"/>
      <c r="T132" s="72" t="s">
        <v>60</v>
      </c>
      <c r="U132" s="109"/>
      <c r="V132" s="74"/>
      <c r="W132" s="109" t="str">
        <f t="shared" si="23"/>
        <v/>
      </c>
      <c r="X132" s="74"/>
      <c r="Y132" s="109" t="str">
        <f t="shared" si="22"/>
        <v/>
      </c>
      <c r="Z132" s="76"/>
    </row>
    <row r="133" spans="1:27" s="29" customFormat="1" ht="21" customHeight="1" thickBot="1" x14ac:dyDescent="0.25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1"/>
      <c r="N133" s="77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9"/>
    </row>
    <row r="134" spans="1:27" s="29" customFormat="1" ht="21" customHeight="1" x14ac:dyDescent="0.2">
      <c r="A134" s="474" t="s">
        <v>42</v>
      </c>
      <c r="B134" s="475"/>
      <c r="C134" s="475"/>
      <c r="D134" s="475"/>
      <c r="E134" s="475"/>
      <c r="F134" s="475"/>
      <c r="G134" s="475"/>
      <c r="H134" s="475"/>
      <c r="I134" s="475"/>
      <c r="J134" s="475"/>
      <c r="K134" s="475"/>
      <c r="L134" s="476"/>
      <c r="M134" s="28"/>
      <c r="N134" s="64"/>
      <c r="O134" s="469" t="s">
        <v>44</v>
      </c>
      <c r="P134" s="470"/>
      <c r="Q134" s="470"/>
      <c r="R134" s="471"/>
      <c r="S134" s="65"/>
      <c r="T134" s="469" t="s">
        <v>45</v>
      </c>
      <c r="U134" s="470"/>
      <c r="V134" s="470"/>
      <c r="W134" s="470"/>
      <c r="X134" s="470"/>
      <c r="Y134" s="471"/>
      <c r="Z134" s="66"/>
      <c r="AA134" s="28"/>
    </row>
    <row r="135" spans="1:27" s="29" customFormat="1" ht="21" customHeight="1" x14ac:dyDescent="0.2">
      <c r="A135" s="30"/>
      <c r="C135" s="466" t="s">
        <v>92</v>
      </c>
      <c r="D135" s="466"/>
      <c r="E135" s="466"/>
      <c r="F135" s="466"/>
      <c r="G135" s="31" t="str">
        <f>$J$1</f>
        <v>October</v>
      </c>
      <c r="H135" s="467">
        <f>$K$1</f>
        <v>2022</v>
      </c>
      <c r="I135" s="467"/>
      <c r="K135" s="32"/>
      <c r="L135" s="33"/>
      <c r="M135" s="32"/>
      <c r="N135" s="67"/>
      <c r="O135" s="68" t="s">
        <v>55</v>
      </c>
      <c r="P135" s="68" t="s">
        <v>7</v>
      </c>
      <c r="Q135" s="68" t="s">
        <v>6</v>
      </c>
      <c r="R135" s="68" t="s">
        <v>56</v>
      </c>
      <c r="S135" s="69"/>
      <c r="T135" s="68" t="s">
        <v>55</v>
      </c>
      <c r="U135" s="68" t="s">
        <v>57</v>
      </c>
      <c r="V135" s="68" t="s">
        <v>22</v>
      </c>
      <c r="W135" s="68" t="s">
        <v>21</v>
      </c>
      <c r="X135" s="68" t="s">
        <v>23</v>
      </c>
      <c r="Y135" s="68" t="s">
        <v>61</v>
      </c>
      <c r="Z135" s="70"/>
      <c r="AA135" s="32"/>
    </row>
    <row r="136" spans="1:27" s="29" customFormat="1" ht="21" customHeight="1" x14ac:dyDescent="0.2">
      <c r="A136" s="30"/>
      <c r="D136" s="35"/>
      <c r="E136" s="35"/>
      <c r="F136" s="35"/>
      <c r="G136" s="35"/>
      <c r="H136" s="35"/>
      <c r="J136" s="36" t="s">
        <v>1</v>
      </c>
      <c r="K136" s="37">
        <v>25000</v>
      </c>
      <c r="L136" s="38"/>
      <c r="N136" s="71"/>
      <c r="O136" s="72" t="s">
        <v>47</v>
      </c>
      <c r="P136" s="72"/>
      <c r="Q136" s="72"/>
      <c r="R136" s="72"/>
      <c r="S136" s="73"/>
      <c r="T136" s="72" t="s">
        <v>47</v>
      </c>
      <c r="U136" s="74"/>
      <c r="V136" s="74"/>
      <c r="W136" s="74">
        <f>V136+U136</f>
        <v>0</v>
      </c>
      <c r="X136" s="74"/>
      <c r="Y136" s="74">
        <f>W136-X136</f>
        <v>0</v>
      </c>
      <c r="Z136" s="70"/>
    </row>
    <row r="137" spans="1:27" s="29" customFormat="1" ht="21" customHeight="1" x14ac:dyDescent="0.2">
      <c r="A137" s="30"/>
      <c r="B137" s="29" t="s">
        <v>0</v>
      </c>
      <c r="C137" s="40" t="s">
        <v>230</v>
      </c>
      <c r="H137" s="41"/>
      <c r="I137" s="35"/>
      <c r="L137" s="42"/>
      <c r="M137" s="28"/>
      <c r="N137" s="75"/>
      <c r="O137" s="72" t="s">
        <v>73</v>
      </c>
      <c r="P137" s="72"/>
      <c r="Q137" s="72"/>
      <c r="R137" s="72"/>
      <c r="S137" s="63"/>
      <c r="T137" s="72" t="s">
        <v>73</v>
      </c>
      <c r="U137" s="109">
        <f t="shared" ref="U137:U144" si="25">Y136</f>
        <v>0</v>
      </c>
      <c r="V137" s="74"/>
      <c r="W137" s="109">
        <f>IF(U137="","",U137+V137)</f>
        <v>0</v>
      </c>
      <c r="X137" s="74"/>
      <c r="Y137" s="109">
        <f>IF(W137="","",W137-X137)</f>
        <v>0</v>
      </c>
      <c r="Z137" s="76"/>
      <c r="AA137" s="28"/>
    </row>
    <row r="138" spans="1:27" s="29" customFormat="1" ht="21" customHeight="1" x14ac:dyDescent="0.2">
      <c r="A138" s="30"/>
      <c r="B138" s="44" t="s">
        <v>43</v>
      </c>
      <c r="C138" s="45"/>
      <c r="F138" s="468" t="s">
        <v>45</v>
      </c>
      <c r="G138" s="468"/>
      <c r="I138" s="468" t="s">
        <v>46</v>
      </c>
      <c r="J138" s="468"/>
      <c r="K138" s="468"/>
      <c r="L138" s="46"/>
      <c r="N138" s="71"/>
      <c r="O138" s="72" t="s">
        <v>48</v>
      </c>
      <c r="P138" s="72"/>
      <c r="Q138" s="72"/>
      <c r="R138" s="72"/>
      <c r="S138" s="63"/>
      <c r="T138" s="72" t="s">
        <v>48</v>
      </c>
      <c r="U138" s="109">
        <f t="shared" si="25"/>
        <v>0</v>
      </c>
      <c r="V138" s="74"/>
      <c r="W138" s="109">
        <f t="shared" ref="W138:W147" si="26">IF(U138="","",U138+V138)</f>
        <v>0</v>
      </c>
      <c r="X138" s="74"/>
      <c r="Y138" s="109">
        <f t="shared" ref="Y138:Y147" si="27">IF(W138="","",W138-X138)</f>
        <v>0</v>
      </c>
      <c r="Z138" s="76"/>
    </row>
    <row r="139" spans="1:27" s="29" customFormat="1" ht="21" customHeight="1" x14ac:dyDescent="0.2">
      <c r="A139" s="30"/>
      <c r="H139" s="47"/>
      <c r="L139" s="34"/>
      <c r="N139" s="71"/>
      <c r="O139" s="72" t="s">
        <v>49</v>
      </c>
      <c r="P139" s="72"/>
      <c r="Q139" s="72"/>
      <c r="R139" s="72"/>
      <c r="S139" s="63"/>
      <c r="T139" s="72" t="s">
        <v>49</v>
      </c>
      <c r="U139" s="109">
        <f t="shared" si="25"/>
        <v>0</v>
      </c>
      <c r="V139" s="74"/>
      <c r="W139" s="109">
        <f t="shared" si="26"/>
        <v>0</v>
      </c>
      <c r="X139" s="74"/>
      <c r="Y139" s="109">
        <f t="shared" si="27"/>
        <v>0</v>
      </c>
      <c r="Z139" s="76"/>
    </row>
    <row r="140" spans="1:27" s="29" customFormat="1" ht="21" customHeight="1" x14ac:dyDescent="0.2">
      <c r="A140" s="30"/>
      <c r="B140" s="472" t="s">
        <v>44</v>
      </c>
      <c r="C140" s="473"/>
      <c r="F140" s="48" t="s">
        <v>66</v>
      </c>
      <c r="G140" s="43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7"/>
      <c r="I140" s="49">
        <f>K2</f>
        <v>31</v>
      </c>
      <c r="J140" s="50" t="s">
        <v>63</v>
      </c>
      <c r="K140" s="51">
        <f>K136/$K$2*I140</f>
        <v>25000</v>
      </c>
      <c r="L140" s="52"/>
      <c r="N140" s="71"/>
      <c r="O140" s="72" t="s">
        <v>50</v>
      </c>
      <c r="P140" s="72"/>
      <c r="Q140" s="72"/>
      <c r="R140" s="72" t="str">
        <f>IF(Q140="","",R139-Q140)</f>
        <v/>
      </c>
      <c r="S140" s="63"/>
      <c r="T140" s="72" t="s">
        <v>50</v>
      </c>
      <c r="U140" s="109">
        <f t="shared" si="25"/>
        <v>0</v>
      </c>
      <c r="V140" s="74"/>
      <c r="W140" s="109">
        <f t="shared" si="26"/>
        <v>0</v>
      </c>
      <c r="X140" s="74"/>
      <c r="Y140" s="109">
        <f t="shared" si="27"/>
        <v>0</v>
      </c>
      <c r="Z140" s="76"/>
    </row>
    <row r="141" spans="1:27" s="29" customFormat="1" ht="21" customHeight="1" x14ac:dyDescent="0.2">
      <c r="A141" s="30"/>
      <c r="B141" s="39"/>
      <c r="C141" s="39"/>
      <c r="F141" s="48" t="s">
        <v>22</v>
      </c>
      <c r="G141" s="43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7"/>
      <c r="I141" s="49"/>
      <c r="J141" s="50" t="s">
        <v>64</v>
      </c>
      <c r="K141" s="53">
        <f>K136/$K$2/8*I141</f>
        <v>0</v>
      </c>
      <c r="L141" s="54"/>
      <c r="N141" s="71"/>
      <c r="O141" s="72" t="s">
        <v>51</v>
      </c>
      <c r="P141" s="72"/>
      <c r="Q141" s="72"/>
      <c r="R141" s="72" t="str">
        <f>IF(Q141="","",R140-Q141)</f>
        <v/>
      </c>
      <c r="S141" s="63"/>
      <c r="T141" s="72" t="s">
        <v>51</v>
      </c>
      <c r="U141" s="109">
        <f t="shared" si="25"/>
        <v>0</v>
      </c>
      <c r="V141" s="74"/>
      <c r="W141" s="109">
        <f t="shared" si="26"/>
        <v>0</v>
      </c>
      <c r="X141" s="74"/>
      <c r="Y141" s="109">
        <f t="shared" si="27"/>
        <v>0</v>
      </c>
      <c r="Z141" s="76"/>
    </row>
    <row r="142" spans="1:27" s="29" customFormat="1" ht="21" customHeight="1" x14ac:dyDescent="0.2">
      <c r="A142" s="30"/>
      <c r="B142" s="48" t="s">
        <v>7</v>
      </c>
      <c r="C142" s="39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F142" s="48" t="s">
        <v>67</v>
      </c>
      <c r="G142" s="43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7"/>
      <c r="I142" s="456" t="s">
        <v>71</v>
      </c>
      <c r="J142" s="457"/>
      <c r="K142" s="53">
        <f>K140+K141</f>
        <v>25000</v>
      </c>
      <c r="L142" s="54"/>
      <c r="N142" s="71"/>
      <c r="O142" s="72" t="s">
        <v>52</v>
      </c>
      <c r="P142" s="72"/>
      <c r="Q142" s="72"/>
      <c r="R142" s="72" t="str">
        <f>IF(Q142="","",R141-Q142)</f>
        <v/>
      </c>
      <c r="S142" s="63"/>
      <c r="T142" s="72" t="s">
        <v>52</v>
      </c>
      <c r="U142" s="109">
        <f t="shared" si="25"/>
        <v>0</v>
      </c>
      <c r="V142" s="74"/>
      <c r="W142" s="109">
        <f t="shared" si="26"/>
        <v>0</v>
      </c>
      <c r="X142" s="74"/>
      <c r="Y142" s="109">
        <f t="shared" si="27"/>
        <v>0</v>
      </c>
      <c r="Z142" s="76"/>
    </row>
    <row r="143" spans="1:27" s="29" customFormat="1" ht="21" customHeight="1" x14ac:dyDescent="0.2">
      <c r="A143" s="30"/>
      <c r="B143" s="48" t="s">
        <v>6</v>
      </c>
      <c r="C143" s="39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F143" s="48" t="s">
        <v>23</v>
      </c>
      <c r="G143" s="43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7"/>
      <c r="I143" s="456" t="s">
        <v>72</v>
      </c>
      <c r="J143" s="457"/>
      <c r="K143" s="43">
        <f>G143</f>
        <v>0</v>
      </c>
      <c r="L143" s="55"/>
      <c r="N143" s="71"/>
      <c r="O143" s="72" t="s">
        <v>53</v>
      </c>
      <c r="P143" s="72"/>
      <c r="Q143" s="72"/>
      <c r="R143" s="72" t="str">
        <f>IF(Q143="","",R142-Q143)</f>
        <v/>
      </c>
      <c r="S143" s="63"/>
      <c r="T143" s="72" t="s">
        <v>53</v>
      </c>
      <c r="U143" s="109">
        <f t="shared" si="25"/>
        <v>0</v>
      </c>
      <c r="V143" s="74"/>
      <c r="W143" s="109">
        <f>V143+U143</f>
        <v>0</v>
      </c>
      <c r="X143" s="74"/>
      <c r="Y143" s="109">
        <f t="shared" si="27"/>
        <v>0</v>
      </c>
      <c r="Z143" s="76"/>
    </row>
    <row r="144" spans="1:27" s="29" customFormat="1" ht="21" customHeight="1" x14ac:dyDescent="0.2">
      <c r="A144" s="30"/>
      <c r="B144" s="56" t="s">
        <v>70</v>
      </c>
      <c r="C144" s="39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F144" s="48" t="s">
        <v>69</v>
      </c>
      <c r="G144" s="43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I144" s="458" t="s">
        <v>65</v>
      </c>
      <c r="J144" s="459"/>
      <c r="K144" s="57"/>
      <c r="L144" s="58"/>
      <c r="N144" s="71"/>
      <c r="O144" s="72" t="s">
        <v>58</v>
      </c>
      <c r="P144" s="72"/>
      <c r="Q144" s="72"/>
      <c r="R144" s="72"/>
      <c r="S144" s="63"/>
      <c r="T144" s="72" t="s">
        <v>58</v>
      </c>
      <c r="U144" s="109">
        <f t="shared" si="25"/>
        <v>0</v>
      </c>
      <c r="V144" s="74"/>
      <c r="W144" s="109">
        <f t="shared" si="26"/>
        <v>0</v>
      </c>
      <c r="X144" s="74"/>
      <c r="Y144" s="109">
        <f t="shared" si="27"/>
        <v>0</v>
      </c>
      <c r="Z144" s="76"/>
    </row>
    <row r="145" spans="1:27" s="29" customFormat="1" ht="21" customHeight="1" x14ac:dyDescent="0.2">
      <c r="A145" s="30"/>
      <c r="L145" s="46"/>
      <c r="N145" s="71"/>
      <c r="O145" s="72" t="s">
        <v>54</v>
      </c>
      <c r="P145" s="72"/>
      <c r="Q145" s="72"/>
      <c r="R145" s="72"/>
      <c r="S145" s="63"/>
      <c r="T145" s="72" t="s">
        <v>54</v>
      </c>
      <c r="U145" s="109">
        <f>IF($J$1="October",Y144,"")</f>
        <v>0</v>
      </c>
      <c r="V145" s="74"/>
      <c r="W145" s="109">
        <f t="shared" si="26"/>
        <v>0</v>
      </c>
      <c r="X145" s="74"/>
      <c r="Y145" s="109">
        <f t="shared" si="27"/>
        <v>0</v>
      </c>
      <c r="Z145" s="76"/>
    </row>
    <row r="146" spans="1:27" s="29" customFormat="1" ht="21" customHeight="1" x14ac:dyDescent="0.2">
      <c r="A146" s="30"/>
      <c r="B146" s="455" t="s">
        <v>94</v>
      </c>
      <c r="C146" s="455"/>
      <c r="D146" s="455"/>
      <c r="E146" s="455"/>
      <c r="F146" s="455"/>
      <c r="G146" s="455"/>
      <c r="H146" s="455"/>
      <c r="I146" s="455"/>
      <c r="J146" s="455"/>
      <c r="K146" s="455"/>
      <c r="L146" s="46"/>
      <c r="N146" s="71"/>
      <c r="O146" s="72" t="s">
        <v>59</v>
      </c>
      <c r="P146" s="72"/>
      <c r="Q146" s="72"/>
      <c r="R146" s="72"/>
      <c r="S146" s="63"/>
      <c r="T146" s="72" t="s">
        <v>59</v>
      </c>
      <c r="U146" s="109" t="str">
        <f>IF($J$1="November",Y145,"")</f>
        <v/>
      </c>
      <c r="V146" s="74"/>
      <c r="W146" s="109" t="str">
        <f t="shared" si="26"/>
        <v/>
      </c>
      <c r="X146" s="74"/>
      <c r="Y146" s="109" t="str">
        <f t="shared" si="27"/>
        <v/>
      </c>
      <c r="Z146" s="76"/>
    </row>
    <row r="147" spans="1:27" s="29" customFormat="1" ht="21" customHeight="1" x14ac:dyDescent="0.2">
      <c r="A147" s="30"/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6"/>
      <c r="N147" s="71"/>
      <c r="O147" s="72" t="s">
        <v>60</v>
      </c>
      <c r="P147" s="72"/>
      <c r="Q147" s="72"/>
      <c r="R147" s="72"/>
      <c r="S147" s="63"/>
      <c r="T147" s="72" t="s">
        <v>60</v>
      </c>
      <c r="U147" s="109" t="str">
        <f>IF($J$1="December",Y146,"")</f>
        <v/>
      </c>
      <c r="V147" s="74"/>
      <c r="W147" s="109" t="str">
        <f t="shared" si="26"/>
        <v/>
      </c>
      <c r="X147" s="74"/>
      <c r="Y147" s="109" t="str">
        <f t="shared" si="27"/>
        <v/>
      </c>
      <c r="Z147" s="76"/>
    </row>
    <row r="148" spans="1:27" s="29" customFormat="1" ht="21" customHeight="1" thickBot="1" x14ac:dyDescent="0.25">
      <c r="A148" s="30"/>
      <c r="L148" s="46"/>
      <c r="N148" s="77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9"/>
    </row>
    <row r="149" spans="1:27" s="29" customFormat="1" ht="21" customHeight="1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N149" s="71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85"/>
    </row>
    <row r="150" spans="1:27" s="29" customFormat="1" ht="21" customHeight="1" thickBot="1" x14ac:dyDescent="0.25">
      <c r="N150" s="71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85"/>
    </row>
    <row r="151" spans="1:27" s="29" customFormat="1" ht="21" customHeight="1" x14ac:dyDescent="0.2">
      <c r="A151" s="526" t="s">
        <v>42</v>
      </c>
      <c r="B151" s="527"/>
      <c r="C151" s="527"/>
      <c r="D151" s="527"/>
      <c r="E151" s="527"/>
      <c r="F151" s="527"/>
      <c r="G151" s="527"/>
      <c r="H151" s="527"/>
      <c r="I151" s="527"/>
      <c r="J151" s="527"/>
      <c r="K151" s="527"/>
      <c r="L151" s="528"/>
      <c r="M151" s="28"/>
      <c r="N151" s="64"/>
      <c r="O151" s="469" t="s">
        <v>44</v>
      </c>
      <c r="P151" s="470"/>
      <c r="Q151" s="470"/>
      <c r="R151" s="471"/>
      <c r="S151" s="65"/>
      <c r="T151" s="469" t="s">
        <v>45</v>
      </c>
      <c r="U151" s="470"/>
      <c r="V151" s="470"/>
      <c r="W151" s="470"/>
      <c r="X151" s="470"/>
      <c r="Y151" s="471"/>
      <c r="Z151" s="66"/>
      <c r="AA151" s="28"/>
    </row>
    <row r="152" spans="1:27" s="29" customFormat="1" ht="21" customHeight="1" x14ac:dyDescent="0.2">
      <c r="A152" s="30"/>
      <c r="C152" s="466" t="s">
        <v>92</v>
      </c>
      <c r="D152" s="466"/>
      <c r="E152" s="466"/>
      <c r="F152" s="466"/>
      <c r="G152" s="31" t="str">
        <f>$J$1</f>
        <v>October</v>
      </c>
      <c r="H152" s="467">
        <f>$K$1</f>
        <v>2022</v>
      </c>
      <c r="I152" s="467"/>
      <c r="K152" s="32"/>
      <c r="L152" s="33"/>
      <c r="M152" s="32"/>
      <c r="N152" s="67"/>
      <c r="O152" s="68" t="s">
        <v>55</v>
      </c>
      <c r="P152" s="68" t="s">
        <v>7</v>
      </c>
      <c r="Q152" s="68" t="s">
        <v>6</v>
      </c>
      <c r="R152" s="68" t="s">
        <v>56</v>
      </c>
      <c r="S152" s="69"/>
      <c r="T152" s="68" t="s">
        <v>55</v>
      </c>
      <c r="U152" s="68" t="s">
        <v>57</v>
      </c>
      <c r="V152" s="68" t="s">
        <v>22</v>
      </c>
      <c r="W152" s="68" t="s">
        <v>21</v>
      </c>
      <c r="X152" s="68" t="s">
        <v>23</v>
      </c>
      <c r="Y152" s="68" t="s">
        <v>61</v>
      </c>
      <c r="Z152" s="70"/>
      <c r="AA152" s="32"/>
    </row>
    <row r="153" spans="1:27" s="29" customFormat="1" ht="21" customHeight="1" x14ac:dyDescent="0.2">
      <c r="A153" s="30"/>
      <c r="D153" s="35"/>
      <c r="E153" s="35"/>
      <c r="F153" s="35"/>
      <c r="G153" s="35"/>
      <c r="H153" s="35"/>
      <c r="J153" s="36" t="s">
        <v>1</v>
      </c>
      <c r="K153" s="37">
        <v>40000</v>
      </c>
      <c r="L153" s="38"/>
      <c r="N153" s="71"/>
      <c r="O153" s="72" t="s">
        <v>47</v>
      </c>
      <c r="P153" s="72">
        <v>30</v>
      </c>
      <c r="Q153" s="72">
        <v>1</v>
      </c>
      <c r="R153" s="72">
        <f>15-Q153</f>
        <v>14</v>
      </c>
      <c r="S153" s="73"/>
      <c r="T153" s="72" t="s">
        <v>47</v>
      </c>
      <c r="U153" s="74"/>
      <c r="V153" s="74"/>
      <c r="W153" s="74">
        <f>V153+U153</f>
        <v>0</v>
      </c>
      <c r="X153" s="74"/>
      <c r="Y153" s="74">
        <f>W153-X153</f>
        <v>0</v>
      </c>
      <c r="Z153" s="70"/>
    </row>
    <row r="154" spans="1:27" s="29" customFormat="1" ht="21" customHeight="1" x14ac:dyDescent="0.2">
      <c r="A154" s="30"/>
      <c r="B154" s="29" t="s">
        <v>0</v>
      </c>
      <c r="C154" s="40" t="s">
        <v>87</v>
      </c>
      <c r="H154" s="41"/>
      <c r="I154" s="35"/>
      <c r="L154" s="42"/>
      <c r="M154" s="28"/>
      <c r="N154" s="75"/>
      <c r="O154" s="72" t="s">
        <v>73</v>
      </c>
      <c r="P154" s="72">
        <v>28</v>
      </c>
      <c r="Q154" s="72">
        <v>0</v>
      </c>
      <c r="R154" s="72">
        <f t="shared" ref="R154:R163" si="28">IF(Q154="","",R153-Q154)</f>
        <v>14</v>
      </c>
      <c r="S154" s="63"/>
      <c r="T154" s="72" t="s">
        <v>73</v>
      </c>
      <c r="U154" s="109">
        <f t="shared" ref="U154:U159" si="29">Y153</f>
        <v>0</v>
      </c>
      <c r="V154" s="74">
        <v>2000</v>
      </c>
      <c r="W154" s="109">
        <f>IF(U154="","",U154+V154)</f>
        <v>2000</v>
      </c>
      <c r="X154" s="74">
        <v>1000</v>
      </c>
      <c r="Y154" s="109">
        <f>IF(W154="","",W154-X154)</f>
        <v>1000</v>
      </c>
      <c r="Z154" s="76"/>
      <c r="AA154" s="28"/>
    </row>
    <row r="155" spans="1:27" s="29" customFormat="1" ht="21" customHeight="1" x14ac:dyDescent="0.2">
      <c r="A155" s="30"/>
      <c r="B155" s="44" t="s">
        <v>43</v>
      </c>
      <c r="C155" s="45"/>
      <c r="F155" s="468" t="s">
        <v>45</v>
      </c>
      <c r="G155" s="468"/>
      <c r="I155" s="468" t="s">
        <v>46</v>
      </c>
      <c r="J155" s="468"/>
      <c r="K155" s="468"/>
      <c r="L155" s="46"/>
      <c r="N155" s="71"/>
      <c r="O155" s="72" t="s">
        <v>48</v>
      </c>
      <c r="P155" s="72">
        <v>30</v>
      </c>
      <c r="Q155" s="72">
        <v>1</v>
      </c>
      <c r="R155" s="72">
        <f t="shared" si="28"/>
        <v>13</v>
      </c>
      <c r="S155" s="63"/>
      <c r="T155" s="72" t="s">
        <v>48</v>
      </c>
      <c r="U155" s="109">
        <f t="shared" si="29"/>
        <v>1000</v>
      </c>
      <c r="V155" s="74"/>
      <c r="W155" s="109">
        <f t="shared" ref="W155:W164" si="30">IF(U155="","",U155+V155)</f>
        <v>1000</v>
      </c>
      <c r="X155" s="74"/>
      <c r="Y155" s="109">
        <f t="shared" ref="Y155:Y164" si="31">IF(W155="","",W155-X155)</f>
        <v>1000</v>
      </c>
      <c r="Z155" s="76"/>
    </row>
    <row r="156" spans="1:27" s="29" customFormat="1" ht="21" customHeight="1" x14ac:dyDescent="0.2">
      <c r="A156" s="30"/>
      <c r="H156" s="47"/>
      <c r="L156" s="34"/>
      <c r="N156" s="71"/>
      <c r="O156" s="72" t="s">
        <v>49</v>
      </c>
      <c r="P156" s="72">
        <v>29</v>
      </c>
      <c r="Q156" s="72">
        <v>1</v>
      </c>
      <c r="R156" s="72">
        <f t="shared" si="28"/>
        <v>12</v>
      </c>
      <c r="S156" s="63"/>
      <c r="T156" s="72" t="s">
        <v>49</v>
      </c>
      <c r="U156" s="109">
        <f t="shared" si="29"/>
        <v>1000</v>
      </c>
      <c r="V156" s="74">
        <v>1500</v>
      </c>
      <c r="W156" s="109">
        <f t="shared" si="30"/>
        <v>2500</v>
      </c>
      <c r="X156" s="74">
        <v>1000</v>
      </c>
      <c r="Y156" s="109">
        <f t="shared" si="31"/>
        <v>1500</v>
      </c>
      <c r="Z156" s="76"/>
    </row>
    <row r="157" spans="1:27" s="29" customFormat="1" ht="21" customHeight="1" x14ac:dyDescent="0.2">
      <c r="A157" s="30"/>
      <c r="B157" s="472" t="s">
        <v>44</v>
      </c>
      <c r="C157" s="473"/>
      <c r="F157" s="48" t="s">
        <v>66</v>
      </c>
      <c r="G157" s="43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10000</v>
      </c>
      <c r="H157" s="47"/>
      <c r="I157" s="49">
        <f>IF(C161&gt;0,$K$2,C159)</f>
        <v>31</v>
      </c>
      <c r="J157" s="50" t="s">
        <v>63</v>
      </c>
      <c r="K157" s="51">
        <f>K153/$K$2*I157</f>
        <v>40000</v>
      </c>
      <c r="L157" s="52"/>
      <c r="N157" s="71"/>
      <c r="O157" s="72" t="s">
        <v>50</v>
      </c>
      <c r="P157" s="72">
        <v>30</v>
      </c>
      <c r="Q157" s="72">
        <v>1</v>
      </c>
      <c r="R157" s="72">
        <f t="shared" si="28"/>
        <v>11</v>
      </c>
      <c r="S157" s="63"/>
      <c r="T157" s="72" t="s">
        <v>50</v>
      </c>
      <c r="U157" s="109">
        <f t="shared" si="29"/>
        <v>1500</v>
      </c>
      <c r="V157" s="74">
        <v>-1500</v>
      </c>
      <c r="W157" s="109">
        <f>V157+U157</f>
        <v>0</v>
      </c>
      <c r="X157" s="74"/>
      <c r="Y157" s="109">
        <f t="shared" si="31"/>
        <v>0</v>
      </c>
      <c r="Z157" s="76"/>
    </row>
    <row r="158" spans="1:27" s="29" customFormat="1" ht="21" customHeight="1" x14ac:dyDescent="0.2">
      <c r="A158" s="30"/>
      <c r="B158" s="39"/>
      <c r="C158" s="39"/>
      <c r="F158" s="48" t="s">
        <v>22</v>
      </c>
      <c r="G158" s="43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3000</v>
      </c>
      <c r="H158" s="47"/>
      <c r="I158" s="123"/>
      <c r="J158" s="50" t="s">
        <v>64</v>
      </c>
      <c r="K158" s="53">
        <f>K153/$K$2/8*I158</f>
        <v>0</v>
      </c>
      <c r="L158" s="54"/>
      <c r="N158" s="71"/>
      <c r="O158" s="72" t="s">
        <v>51</v>
      </c>
      <c r="P158" s="72">
        <v>29</v>
      </c>
      <c r="Q158" s="72">
        <v>1</v>
      </c>
      <c r="R158" s="72">
        <f t="shared" si="28"/>
        <v>10</v>
      </c>
      <c r="S158" s="63"/>
      <c r="T158" s="72" t="s">
        <v>51</v>
      </c>
      <c r="U158" s="109">
        <f t="shared" si="29"/>
        <v>0</v>
      </c>
      <c r="V158" s="74">
        <f>1000+2000+2000</f>
        <v>5000</v>
      </c>
      <c r="W158" s="109">
        <f t="shared" si="30"/>
        <v>5000</v>
      </c>
      <c r="X158" s="74">
        <v>2000</v>
      </c>
      <c r="Y158" s="109">
        <f t="shared" si="31"/>
        <v>3000</v>
      </c>
      <c r="Z158" s="76"/>
    </row>
    <row r="159" spans="1:27" s="29" customFormat="1" ht="21" customHeight="1" x14ac:dyDescent="0.2">
      <c r="A159" s="30"/>
      <c r="B159" s="48" t="s">
        <v>7</v>
      </c>
      <c r="C159" s="39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29</v>
      </c>
      <c r="F159" s="48" t="s">
        <v>67</v>
      </c>
      <c r="G159" s="43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13000</v>
      </c>
      <c r="H159" s="47"/>
      <c r="I159" s="456" t="s">
        <v>71</v>
      </c>
      <c r="J159" s="457"/>
      <c r="K159" s="53">
        <f>K157+K158</f>
        <v>40000</v>
      </c>
      <c r="L159" s="54"/>
      <c r="N159" s="71"/>
      <c r="O159" s="72" t="s">
        <v>52</v>
      </c>
      <c r="P159" s="72">
        <v>31</v>
      </c>
      <c r="Q159" s="72">
        <v>0</v>
      </c>
      <c r="R159" s="72">
        <f t="shared" si="28"/>
        <v>10</v>
      </c>
      <c r="S159" s="63"/>
      <c r="T159" s="72" t="s">
        <v>52</v>
      </c>
      <c r="U159" s="109">
        <f t="shared" si="29"/>
        <v>3000</v>
      </c>
      <c r="V159" s="74"/>
      <c r="W159" s="109">
        <f t="shared" si="30"/>
        <v>3000</v>
      </c>
      <c r="X159" s="74">
        <v>1000</v>
      </c>
      <c r="Y159" s="109">
        <f t="shared" si="31"/>
        <v>2000</v>
      </c>
      <c r="Z159" s="76"/>
    </row>
    <row r="160" spans="1:27" s="29" customFormat="1" ht="21" customHeight="1" x14ac:dyDescent="0.2">
      <c r="A160" s="30"/>
      <c r="B160" s="48" t="s">
        <v>6</v>
      </c>
      <c r="C160" s="39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2</v>
      </c>
      <c r="F160" s="48" t="s">
        <v>23</v>
      </c>
      <c r="G160" s="43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5000</v>
      </c>
      <c r="H160" s="47"/>
      <c r="I160" s="456" t="s">
        <v>72</v>
      </c>
      <c r="J160" s="457"/>
      <c r="K160" s="43">
        <f>G160</f>
        <v>5000</v>
      </c>
      <c r="L160" s="55"/>
      <c r="N160" s="71"/>
      <c r="O160" s="72" t="s">
        <v>53</v>
      </c>
      <c r="P160" s="72">
        <v>27</v>
      </c>
      <c r="Q160" s="72">
        <v>4</v>
      </c>
      <c r="R160" s="72">
        <f t="shared" si="28"/>
        <v>6</v>
      </c>
      <c r="S160" s="63"/>
      <c r="T160" s="72" t="s">
        <v>53</v>
      </c>
      <c r="U160" s="109">
        <f>Y159</f>
        <v>2000</v>
      </c>
      <c r="V160" s="74"/>
      <c r="W160" s="109">
        <f t="shared" si="30"/>
        <v>2000</v>
      </c>
      <c r="X160" s="74">
        <v>1000</v>
      </c>
      <c r="Y160" s="109">
        <f t="shared" si="31"/>
        <v>1000</v>
      </c>
      <c r="Z160" s="76"/>
    </row>
    <row r="161" spans="1:27" s="29" customFormat="1" ht="21" customHeight="1" x14ac:dyDescent="0.2">
      <c r="A161" s="30"/>
      <c r="B161" s="56" t="s">
        <v>70</v>
      </c>
      <c r="C161" s="39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3</v>
      </c>
      <c r="F161" s="48" t="s">
        <v>69</v>
      </c>
      <c r="G161" s="43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8000</v>
      </c>
      <c r="I161" s="458" t="s">
        <v>65</v>
      </c>
      <c r="J161" s="459"/>
      <c r="K161" s="57">
        <f>K159-K160</f>
        <v>35000</v>
      </c>
      <c r="L161" s="58"/>
      <c r="N161" s="71"/>
      <c r="O161" s="72" t="s">
        <v>58</v>
      </c>
      <c r="P161" s="72">
        <v>29</v>
      </c>
      <c r="Q161" s="72">
        <v>1</v>
      </c>
      <c r="R161" s="72">
        <f t="shared" si="28"/>
        <v>5</v>
      </c>
      <c r="S161" s="63"/>
      <c r="T161" s="72" t="s">
        <v>58</v>
      </c>
      <c r="U161" s="109">
        <f>Y160</f>
        <v>1000</v>
      </c>
      <c r="V161" s="74">
        <f>1000+10000+10000+10000-10000</f>
        <v>21000</v>
      </c>
      <c r="W161" s="109">
        <f t="shared" si="30"/>
        <v>22000</v>
      </c>
      <c r="X161" s="74">
        <v>12000</v>
      </c>
      <c r="Y161" s="109">
        <f t="shared" si="31"/>
        <v>10000</v>
      </c>
      <c r="Z161" s="76"/>
    </row>
    <row r="162" spans="1:27" s="29" customFormat="1" ht="21" customHeight="1" x14ac:dyDescent="0.2">
      <c r="A162" s="30"/>
      <c r="K162" s="113"/>
      <c r="L162" s="46"/>
      <c r="N162" s="71"/>
      <c r="O162" s="72" t="s">
        <v>54</v>
      </c>
      <c r="P162" s="72">
        <v>29</v>
      </c>
      <c r="Q162" s="72">
        <v>2</v>
      </c>
      <c r="R162" s="72">
        <f t="shared" si="28"/>
        <v>3</v>
      </c>
      <c r="S162" s="63"/>
      <c r="T162" s="72" t="s">
        <v>54</v>
      </c>
      <c r="U162" s="109">
        <f>Y161</f>
        <v>10000</v>
      </c>
      <c r="V162" s="74">
        <v>3000</v>
      </c>
      <c r="W162" s="109">
        <f t="shared" si="30"/>
        <v>13000</v>
      </c>
      <c r="X162" s="74">
        <v>5000</v>
      </c>
      <c r="Y162" s="109">
        <f t="shared" si="31"/>
        <v>8000</v>
      </c>
      <c r="Z162" s="76"/>
    </row>
    <row r="163" spans="1:27" s="29" customFormat="1" ht="21" customHeight="1" x14ac:dyDescent="0.2">
      <c r="A163" s="30"/>
      <c r="B163" s="455" t="s">
        <v>94</v>
      </c>
      <c r="C163" s="455"/>
      <c r="D163" s="455"/>
      <c r="E163" s="455"/>
      <c r="F163" s="455"/>
      <c r="G163" s="455"/>
      <c r="H163" s="455"/>
      <c r="I163" s="455"/>
      <c r="J163" s="455"/>
      <c r="K163" s="455"/>
      <c r="L163" s="46"/>
      <c r="N163" s="71"/>
      <c r="O163" s="72" t="s">
        <v>59</v>
      </c>
      <c r="P163" s="72"/>
      <c r="Q163" s="72"/>
      <c r="R163" s="72" t="str">
        <f t="shared" si="28"/>
        <v/>
      </c>
      <c r="S163" s="63"/>
      <c r="T163" s="72" t="s">
        <v>59</v>
      </c>
      <c r="U163" s="109"/>
      <c r="V163" s="74"/>
      <c r="W163" s="109" t="str">
        <f t="shared" si="30"/>
        <v/>
      </c>
      <c r="X163" s="74"/>
      <c r="Y163" s="109" t="str">
        <f t="shared" si="31"/>
        <v/>
      </c>
      <c r="Z163" s="76"/>
    </row>
    <row r="164" spans="1:27" s="29" customFormat="1" ht="21" customHeight="1" x14ac:dyDescent="0.2">
      <c r="A164" s="30"/>
      <c r="B164" s="455"/>
      <c r="C164" s="455"/>
      <c r="D164" s="455"/>
      <c r="E164" s="455"/>
      <c r="F164" s="455"/>
      <c r="G164" s="455"/>
      <c r="H164" s="455"/>
      <c r="I164" s="455"/>
      <c r="J164" s="455"/>
      <c r="K164" s="455"/>
      <c r="L164" s="46"/>
      <c r="N164" s="71"/>
      <c r="O164" s="72" t="s">
        <v>60</v>
      </c>
      <c r="P164" s="72"/>
      <c r="Q164" s="72"/>
      <c r="R164" s="72" t="str">
        <f t="shared" ref="R164" si="32">IF(Q164="","",R163-Q164)</f>
        <v/>
      </c>
      <c r="S164" s="63"/>
      <c r="T164" s="72" t="s">
        <v>60</v>
      </c>
      <c r="U164" s="109" t="str">
        <f>Y163</f>
        <v/>
      </c>
      <c r="V164" s="74"/>
      <c r="W164" s="109" t="str">
        <f t="shared" si="30"/>
        <v/>
      </c>
      <c r="X164" s="74"/>
      <c r="Y164" s="109" t="str">
        <f t="shared" si="31"/>
        <v/>
      </c>
      <c r="Z164" s="76"/>
    </row>
    <row r="165" spans="1:27" s="29" customFormat="1" ht="21" customHeight="1" thickBot="1" x14ac:dyDescent="0.25">
      <c r="A165" s="5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1"/>
      <c r="N165" s="77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9"/>
    </row>
    <row r="166" spans="1:27" ht="15.75" thickBot="1" x14ac:dyDescent="0.3"/>
    <row r="167" spans="1:27" s="29" customFormat="1" ht="21" customHeight="1" x14ac:dyDescent="0.2">
      <c r="A167" s="529" t="s">
        <v>42</v>
      </c>
      <c r="B167" s="530"/>
      <c r="C167" s="530"/>
      <c r="D167" s="530"/>
      <c r="E167" s="530"/>
      <c r="F167" s="530"/>
      <c r="G167" s="530"/>
      <c r="H167" s="530"/>
      <c r="I167" s="530"/>
      <c r="J167" s="530"/>
      <c r="K167" s="530"/>
      <c r="L167" s="531"/>
      <c r="M167" s="28"/>
      <c r="N167" s="64"/>
      <c r="O167" s="469" t="s">
        <v>44</v>
      </c>
      <c r="P167" s="470"/>
      <c r="Q167" s="470"/>
      <c r="R167" s="471"/>
      <c r="S167" s="65"/>
      <c r="T167" s="469" t="s">
        <v>45</v>
      </c>
      <c r="U167" s="470"/>
      <c r="V167" s="470"/>
      <c r="W167" s="470"/>
      <c r="X167" s="470"/>
      <c r="Y167" s="471"/>
      <c r="Z167" s="66"/>
      <c r="AA167" s="28"/>
    </row>
    <row r="168" spans="1:27" s="29" customFormat="1" ht="21" customHeight="1" x14ac:dyDescent="0.2">
      <c r="A168" s="329"/>
      <c r="C168" s="466" t="s">
        <v>92</v>
      </c>
      <c r="D168" s="466"/>
      <c r="E168" s="466"/>
      <c r="F168" s="466"/>
      <c r="G168" s="31" t="str">
        <f>$J$1</f>
        <v>October</v>
      </c>
      <c r="H168" s="467">
        <f>$K$1</f>
        <v>2022</v>
      </c>
      <c r="I168" s="467"/>
      <c r="K168" s="32"/>
      <c r="L168" s="330"/>
      <c r="M168" s="32"/>
      <c r="N168" s="67"/>
      <c r="O168" s="68" t="s">
        <v>55</v>
      </c>
      <c r="P168" s="68" t="s">
        <v>7</v>
      </c>
      <c r="Q168" s="68" t="s">
        <v>6</v>
      </c>
      <c r="R168" s="68" t="s">
        <v>56</v>
      </c>
      <c r="S168" s="69"/>
      <c r="T168" s="68" t="s">
        <v>55</v>
      </c>
      <c r="U168" s="68" t="s">
        <v>57</v>
      </c>
      <c r="V168" s="68" t="s">
        <v>22</v>
      </c>
      <c r="W168" s="68" t="s">
        <v>21</v>
      </c>
      <c r="X168" s="68" t="s">
        <v>23</v>
      </c>
      <c r="Y168" s="68" t="s">
        <v>61</v>
      </c>
      <c r="Z168" s="70"/>
      <c r="AA168" s="32"/>
    </row>
    <row r="169" spans="1:27" s="29" customFormat="1" ht="21" customHeight="1" x14ac:dyDescent="0.2">
      <c r="A169" s="329"/>
      <c r="D169" s="35"/>
      <c r="E169" s="35"/>
      <c r="F169" s="35"/>
      <c r="G169" s="35"/>
      <c r="H169" s="35"/>
      <c r="J169" s="36" t="s">
        <v>1</v>
      </c>
      <c r="K169" s="37">
        <v>28000</v>
      </c>
      <c r="L169" s="331"/>
      <c r="N169" s="71"/>
      <c r="O169" s="72" t="s">
        <v>47</v>
      </c>
      <c r="P169" s="72">
        <v>21</v>
      </c>
      <c r="Q169" s="72">
        <v>10</v>
      </c>
      <c r="R169" s="72">
        <f>15-Q169</f>
        <v>5</v>
      </c>
      <c r="S169" s="73"/>
      <c r="T169" s="72" t="s">
        <v>47</v>
      </c>
      <c r="U169" s="74">
        <v>25000</v>
      </c>
      <c r="V169" s="74"/>
      <c r="W169" s="74">
        <f>V169+U169</f>
        <v>25000</v>
      </c>
      <c r="X169" s="74">
        <v>5000</v>
      </c>
      <c r="Y169" s="74">
        <f>W169-X169</f>
        <v>20000</v>
      </c>
      <c r="Z169" s="70"/>
    </row>
    <row r="170" spans="1:27" s="29" customFormat="1" ht="21" customHeight="1" x14ac:dyDescent="0.2">
      <c r="A170" s="329"/>
      <c r="B170" s="29" t="s">
        <v>0</v>
      </c>
      <c r="C170" s="40" t="s">
        <v>123</v>
      </c>
      <c r="H170" s="41"/>
      <c r="I170" s="35"/>
      <c r="L170" s="332"/>
      <c r="M170" s="28"/>
      <c r="N170" s="75"/>
      <c r="O170" s="72" t="s">
        <v>73</v>
      </c>
      <c r="P170" s="72">
        <v>28</v>
      </c>
      <c r="Q170" s="72">
        <v>0</v>
      </c>
      <c r="R170" s="72">
        <f t="shared" ref="R170:R180" si="33">IF(Q170="","",R169-Q170)</f>
        <v>5</v>
      </c>
      <c r="S170" s="63"/>
      <c r="T170" s="72" t="s">
        <v>73</v>
      </c>
      <c r="U170" s="109">
        <f>Y169</f>
        <v>20000</v>
      </c>
      <c r="V170" s="74"/>
      <c r="W170" s="109">
        <f>IF(U170="","",U170+V170)</f>
        <v>20000</v>
      </c>
      <c r="X170" s="74">
        <v>5000</v>
      </c>
      <c r="Y170" s="109">
        <f>IF(W170="","",W170-X170)</f>
        <v>15000</v>
      </c>
      <c r="Z170" s="76"/>
      <c r="AA170" s="28"/>
    </row>
    <row r="171" spans="1:27" s="29" customFormat="1" ht="21" customHeight="1" x14ac:dyDescent="0.2">
      <c r="A171" s="329"/>
      <c r="B171" s="44" t="s">
        <v>43</v>
      </c>
      <c r="C171" s="45"/>
      <c r="F171" s="468" t="s">
        <v>45</v>
      </c>
      <c r="G171" s="468"/>
      <c r="I171" s="468" t="s">
        <v>46</v>
      </c>
      <c r="J171" s="468"/>
      <c r="K171" s="468"/>
      <c r="L171" s="333"/>
      <c r="N171" s="71"/>
      <c r="O171" s="72" t="s">
        <v>48</v>
      </c>
      <c r="P171" s="72"/>
      <c r="Q171" s="72"/>
      <c r="R171" s="72" t="str">
        <f t="shared" si="33"/>
        <v/>
      </c>
      <c r="S171" s="63"/>
      <c r="T171" s="72" t="s">
        <v>48</v>
      </c>
      <c r="U171" s="109">
        <f>Y170</f>
        <v>15000</v>
      </c>
      <c r="V171" s="74"/>
      <c r="W171" s="109">
        <f t="shared" ref="W171:W180" si="34">IF(U171="","",U171+V171)</f>
        <v>15000</v>
      </c>
      <c r="X171" s="74">
        <v>5000</v>
      </c>
      <c r="Y171" s="109">
        <f t="shared" ref="Y171:Y180" si="35">IF(W171="","",W171-X171)</f>
        <v>10000</v>
      </c>
      <c r="Z171" s="76"/>
    </row>
    <row r="172" spans="1:27" s="29" customFormat="1" ht="21" customHeight="1" x14ac:dyDescent="0.2">
      <c r="A172" s="329"/>
      <c r="H172" s="47"/>
      <c r="L172" s="334"/>
      <c r="N172" s="71"/>
      <c r="O172" s="72" t="s">
        <v>49</v>
      </c>
      <c r="P172" s="72">
        <v>26</v>
      </c>
      <c r="Q172" s="72">
        <v>4</v>
      </c>
      <c r="R172" s="72">
        <v>0</v>
      </c>
      <c r="S172" s="63"/>
      <c r="T172" s="72" t="s">
        <v>49</v>
      </c>
      <c r="U172" s="109">
        <f>Y171</f>
        <v>10000</v>
      </c>
      <c r="V172" s="74"/>
      <c r="W172" s="109">
        <f t="shared" si="34"/>
        <v>10000</v>
      </c>
      <c r="X172" s="74">
        <v>5000</v>
      </c>
      <c r="Y172" s="109">
        <f t="shared" si="35"/>
        <v>5000</v>
      </c>
      <c r="Z172" s="76"/>
    </row>
    <row r="173" spans="1:27" s="29" customFormat="1" ht="21" customHeight="1" x14ac:dyDescent="0.2">
      <c r="A173" s="329"/>
      <c r="B173" s="472" t="s">
        <v>44</v>
      </c>
      <c r="C173" s="473"/>
      <c r="F173" s="48" t="s">
        <v>66</v>
      </c>
      <c r="G173" s="43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7"/>
      <c r="I173" s="49">
        <f>IF(C177&gt;0,$K$2,C175)</f>
        <v>31</v>
      </c>
      <c r="J173" s="50" t="s">
        <v>63</v>
      </c>
      <c r="K173" s="51">
        <f>K169/$K$2*I173</f>
        <v>28000</v>
      </c>
      <c r="L173" s="335"/>
      <c r="N173" s="71"/>
      <c r="O173" s="72" t="s">
        <v>50</v>
      </c>
      <c r="P173" s="72">
        <v>31</v>
      </c>
      <c r="Q173" s="72">
        <v>0</v>
      </c>
      <c r="R173" s="72">
        <f t="shared" si="33"/>
        <v>0</v>
      </c>
      <c r="S173" s="63"/>
      <c r="T173" s="72" t="s">
        <v>50</v>
      </c>
      <c r="U173" s="109">
        <f>Y172</f>
        <v>5000</v>
      </c>
      <c r="V173" s="74"/>
      <c r="W173" s="109">
        <f t="shared" si="34"/>
        <v>5000</v>
      </c>
      <c r="X173" s="74">
        <v>5000</v>
      </c>
      <c r="Y173" s="109">
        <f t="shared" si="35"/>
        <v>0</v>
      </c>
      <c r="Z173" s="76"/>
    </row>
    <row r="174" spans="1:27" s="29" customFormat="1" ht="21" customHeight="1" x14ac:dyDescent="0.2">
      <c r="A174" s="329"/>
      <c r="B174" s="39"/>
      <c r="C174" s="39"/>
      <c r="F174" s="48" t="s">
        <v>22</v>
      </c>
      <c r="G174" s="43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7"/>
      <c r="I174" s="49"/>
      <c r="J174" s="50" t="s">
        <v>64</v>
      </c>
      <c r="K174" s="97">
        <f>K169/$K$2/8*I174</f>
        <v>0</v>
      </c>
      <c r="L174" s="336"/>
      <c r="N174" s="71"/>
      <c r="O174" s="72" t="s">
        <v>51</v>
      </c>
      <c r="P174" s="72">
        <v>30</v>
      </c>
      <c r="Q174" s="72">
        <v>0</v>
      </c>
      <c r="R174" s="72">
        <f t="shared" si="33"/>
        <v>0</v>
      </c>
      <c r="S174" s="63"/>
      <c r="T174" s="72" t="s">
        <v>51</v>
      </c>
      <c r="U174" s="109"/>
      <c r="V174" s="74"/>
      <c r="W174" s="109" t="str">
        <f t="shared" si="34"/>
        <v/>
      </c>
      <c r="X174" s="74"/>
      <c r="Y174" s="109" t="str">
        <f t="shared" si="35"/>
        <v/>
      </c>
      <c r="Z174" s="76"/>
    </row>
    <row r="175" spans="1:27" s="29" customFormat="1" ht="21" customHeight="1" x14ac:dyDescent="0.2">
      <c r="A175" s="329"/>
      <c r="B175" s="48" t="s">
        <v>7</v>
      </c>
      <c r="C175" s="39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31</v>
      </c>
      <c r="F175" s="48" t="s">
        <v>67</v>
      </c>
      <c r="G175" s="43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7"/>
      <c r="I175" s="456" t="s">
        <v>71</v>
      </c>
      <c r="J175" s="457"/>
      <c r="K175" s="53">
        <f>K173+K174</f>
        <v>28000</v>
      </c>
      <c r="L175" s="336"/>
      <c r="N175" s="71"/>
      <c r="O175" s="72" t="s">
        <v>52</v>
      </c>
      <c r="P175" s="72">
        <v>31</v>
      </c>
      <c r="Q175" s="72">
        <v>0</v>
      </c>
      <c r="R175" s="72">
        <f t="shared" si="33"/>
        <v>0</v>
      </c>
      <c r="S175" s="63"/>
      <c r="T175" s="72" t="s">
        <v>52</v>
      </c>
      <c r="U175" s="109"/>
      <c r="V175" s="74"/>
      <c r="W175" s="109">
        <f>V175+U175</f>
        <v>0</v>
      </c>
      <c r="X175" s="74"/>
      <c r="Y175" s="109">
        <f t="shared" si="35"/>
        <v>0</v>
      </c>
      <c r="Z175" s="76"/>
    </row>
    <row r="176" spans="1:27" s="29" customFormat="1" ht="21" customHeight="1" x14ac:dyDescent="0.2">
      <c r="A176" s="329"/>
      <c r="B176" s="48" t="s">
        <v>6</v>
      </c>
      <c r="C176" s="39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F176" s="48" t="s">
        <v>23</v>
      </c>
      <c r="G176" s="43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7"/>
      <c r="I176" s="456" t="s">
        <v>72</v>
      </c>
      <c r="J176" s="457"/>
      <c r="K176" s="43">
        <f>G176</f>
        <v>0</v>
      </c>
      <c r="L176" s="337"/>
      <c r="N176" s="71"/>
      <c r="O176" s="72" t="s">
        <v>53</v>
      </c>
      <c r="P176" s="72">
        <v>31</v>
      </c>
      <c r="Q176" s="72">
        <v>0</v>
      </c>
      <c r="R176" s="72">
        <f t="shared" si="33"/>
        <v>0</v>
      </c>
      <c r="S176" s="63"/>
      <c r="T176" s="72" t="s">
        <v>53</v>
      </c>
      <c r="U176" s="109">
        <f>Y175</f>
        <v>0</v>
      </c>
      <c r="V176" s="74"/>
      <c r="W176" s="109">
        <f t="shared" si="34"/>
        <v>0</v>
      </c>
      <c r="X176" s="74"/>
      <c r="Y176" s="109">
        <f t="shared" si="35"/>
        <v>0</v>
      </c>
      <c r="Z176" s="76"/>
    </row>
    <row r="177" spans="1:26" s="29" customFormat="1" ht="21" customHeight="1" x14ac:dyDescent="0.2">
      <c r="A177" s="329"/>
      <c r="B177" s="56" t="s">
        <v>70</v>
      </c>
      <c r="C177" s="39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F177" s="48" t="s">
        <v>69</v>
      </c>
      <c r="G177" s="43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I177" s="458" t="s">
        <v>65</v>
      </c>
      <c r="J177" s="459"/>
      <c r="K177" s="57">
        <f>K175-K176</f>
        <v>28000</v>
      </c>
      <c r="L177" s="338"/>
      <c r="N177" s="71"/>
      <c r="O177" s="72" t="s">
        <v>58</v>
      </c>
      <c r="P177" s="72">
        <v>30</v>
      </c>
      <c r="Q177" s="72">
        <v>0</v>
      </c>
      <c r="R177" s="72">
        <f t="shared" si="33"/>
        <v>0</v>
      </c>
      <c r="S177" s="63"/>
      <c r="T177" s="72" t="s">
        <v>58</v>
      </c>
      <c r="U177" s="109">
        <f>Y176</f>
        <v>0</v>
      </c>
      <c r="V177" s="74"/>
      <c r="W177" s="109">
        <f t="shared" si="34"/>
        <v>0</v>
      </c>
      <c r="X177" s="74"/>
      <c r="Y177" s="109">
        <f t="shared" si="35"/>
        <v>0</v>
      </c>
      <c r="Z177" s="76"/>
    </row>
    <row r="178" spans="1:26" s="29" customFormat="1" ht="21" customHeight="1" x14ac:dyDescent="0.2">
      <c r="A178" s="329"/>
      <c r="K178" s="113"/>
      <c r="L178" s="333"/>
      <c r="N178" s="71"/>
      <c r="O178" s="72" t="s">
        <v>54</v>
      </c>
      <c r="P178" s="72">
        <v>31</v>
      </c>
      <c r="Q178" s="72">
        <v>0</v>
      </c>
      <c r="R178" s="72">
        <f t="shared" si="33"/>
        <v>0</v>
      </c>
      <c r="S178" s="63"/>
      <c r="T178" s="72" t="s">
        <v>54</v>
      </c>
      <c r="U178" s="109">
        <f>Y177</f>
        <v>0</v>
      </c>
      <c r="V178" s="74"/>
      <c r="W178" s="109">
        <f t="shared" si="34"/>
        <v>0</v>
      </c>
      <c r="X178" s="74"/>
      <c r="Y178" s="109">
        <f t="shared" si="35"/>
        <v>0</v>
      </c>
      <c r="Z178" s="76"/>
    </row>
    <row r="179" spans="1:26" s="29" customFormat="1" ht="21" customHeight="1" x14ac:dyDescent="0.2">
      <c r="A179" s="329"/>
      <c r="B179" s="455" t="s">
        <v>94</v>
      </c>
      <c r="C179" s="455"/>
      <c r="D179" s="455"/>
      <c r="E179" s="455"/>
      <c r="F179" s="455"/>
      <c r="G179" s="455"/>
      <c r="H179" s="455"/>
      <c r="I179" s="455"/>
      <c r="J179" s="455"/>
      <c r="K179" s="455"/>
      <c r="L179" s="333"/>
      <c r="N179" s="71"/>
      <c r="O179" s="72" t="s">
        <v>59</v>
      </c>
      <c r="P179" s="72"/>
      <c r="Q179" s="72"/>
      <c r="R179" s="72" t="str">
        <f t="shared" si="33"/>
        <v/>
      </c>
      <c r="S179" s="63"/>
      <c r="T179" s="72" t="s">
        <v>59</v>
      </c>
      <c r="U179" s="109">
        <f>Y178</f>
        <v>0</v>
      </c>
      <c r="V179" s="74"/>
      <c r="W179" s="109">
        <f t="shared" si="34"/>
        <v>0</v>
      </c>
      <c r="X179" s="74"/>
      <c r="Y179" s="109">
        <f t="shared" si="35"/>
        <v>0</v>
      </c>
      <c r="Z179" s="76"/>
    </row>
    <row r="180" spans="1:26" s="29" customFormat="1" ht="21" customHeight="1" x14ac:dyDescent="0.2">
      <c r="A180" s="329"/>
      <c r="B180" s="455"/>
      <c r="C180" s="455"/>
      <c r="D180" s="455"/>
      <c r="E180" s="455"/>
      <c r="F180" s="455"/>
      <c r="G180" s="455"/>
      <c r="H180" s="455"/>
      <c r="I180" s="455"/>
      <c r="J180" s="455"/>
      <c r="K180" s="455"/>
      <c r="L180" s="333"/>
      <c r="N180" s="71"/>
      <c r="O180" s="72" t="s">
        <v>60</v>
      </c>
      <c r="P180" s="72"/>
      <c r="Q180" s="72"/>
      <c r="R180" s="72" t="str">
        <f t="shared" si="33"/>
        <v/>
      </c>
      <c r="S180" s="63"/>
      <c r="T180" s="72" t="s">
        <v>60</v>
      </c>
      <c r="U180" s="109">
        <f>Y179</f>
        <v>0</v>
      </c>
      <c r="V180" s="74"/>
      <c r="W180" s="109">
        <f t="shared" si="34"/>
        <v>0</v>
      </c>
      <c r="X180" s="74"/>
      <c r="Y180" s="109">
        <f t="shared" si="35"/>
        <v>0</v>
      </c>
      <c r="Z180" s="76"/>
    </row>
    <row r="181" spans="1:26" s="29" customFormat="1" ht="21" customHeight="1" thickBot="1" x14ac:dyDescent="0.25">
      <c r="A181" s="339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340"/>
      <c r="N181" s="77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9"/>
    </row>
    <row r="182" spans="1:26" s="29" customFormat="1" ht="21" hidden="1" customHeight="1" x14ac:dyDescent="0.2"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s="29" customFormat="1" ht="21" hidden="1" customHeight="1" thickBot="1" x14ac:dyDescent="0.25"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s="29" customFormat="1" ht="21" hidden="1" customHeight="1" x14ac:dyDescent="0.2">
      <c r="A184" s="474" t="s">
        <v>42</v>
      </c>
      <c r="B184" s="475"/>
      <c r="C184" s="475"/>
      <c r="D184" s="475"/>
      <c r="E184" s="475"/>
      <c r="F184" s="475"/>
      <c r="G184" s="475"/>
      <c r="H184" s="475"/>
      <c r="I184" s="475"/>
      <c r="J184" s="475"/>
      <c r="K184" s="475"/>
      <c r="L184" s="476"/>
      <c r="M184" s="28"/>
      <c r="N184" s="64"/>
      <c r="O184" s="469" t="s">
        <v>44</v>
      </c>
      <c r="P184" s="470"/>
      <c r="Q184" s="470"/>
      <c r="R184" s="471"/>
      <c r="S184" s="65"/>
      <c r="T184" s="469" t="s">
        <v>45</v>
      </c>
      <c r="U184" s="470"/>
      <c r="V184" s="470"/>
      <c r="W184" s="470"/>
      <c r="X184" s="470"/>
      <c r="Y184" s="471"/>
      <c r="Z184" s="63"/>
    </row>
    <row r="185" spans="1:26" s="29" customFormat="1" ht="21" hidden="1" customHeight="1" x14ac:dyDescent="0.2">
      <c r="A185" s="30"/>
      <c r="C185" s="466" t="s">
        <v>92</v>
      </c>
      <c r="D185" s="466"/>
      <c r="E185" s="466"/>
      <c r="F185" s="466"/>
      <c r="G185" s="31" t="str">
        <f>$J$1</f>
        <v>October</v>
      </c>
      <c r="H185" s="467">
        <f>$K$1</f>
        <v>2022</v>
      </c>
      <c r="I185" s="467"/>
      <c r="K185" s="32"/>
      <c r="L185" s="33"/>
      <c r="M185" s="32"/>
      <c r="N185" s="67"/>
      <c r="O185" s="68" t="s">
        <v>55</v>
      </c>
      <c r="P185" s="68" t="s">
        <v>7</v>
      </c>
      <c r="Q185" s="68" t="s">
        <v>6</v>
      </c>
      <c r="R185" s="68" t="s">
        <v>56</v>
      </c>
      <c r="S185" s="69"/>
      <c r="T185" s="68" t="s">
        <v>55</v>
      </c>
      <c r="U185" s="68" t="s">
        <v>57</v>
      </c>
      <c r="V185" s="68" t="s">
        <v>22</v>
      </c>
      <c r="W185" s="68" t="s">
        <v>21</v>
      </c>
      <c r="X185" s="68" t="s">
        <v>23</v>
      </c>
      <c r="Y185" s="68" t="s">
        <v>61</v>
      </c>
      <c r="Z185" s="63"/>
    </row>
    <row r="186" spans="1:26" s="29" customFormat="1" ht="21" hidden="1" customHeight="1" x14ac:dyDescent="0.2">
      <c r="A186" s="30"/>
      <c r="D186" s="35"/>
      <c r="E186" s="35"/>
      <c r="F186" s="35"/>
      <c r="G186" s="35"/>
      <c r="H186" s="35"/>
      <c r="J186" s="36" t="s">
        <v>1</v>
      </c>
      <c r="K186" s="37"/>
      <c r="L186" s="38"/>
      <c r="N186" s="71"/>
      <c r="O186" s="72" t="s">
        <v>47</v>
      </c>
      <c r="P186" s="72"/>
      <c r="Q186" s="72"/>
      <c r="R186" s="72"/>
      <c r="S186" s="73"/>
      <c r="T186" s="72" t="s">
        <v>47</v>
      </c>
      <c r="U186" s="74"/>
      <c r="V186" s="74"/>
      <c r="W186" s="74">
        <f>V186+U186</f>
        <v>0</v>
      </c>
      <c r="X186" s="74"/>
      <c r="Y186" s="74">
        <f>W186-X186</f>
        <v>0</v>
      </c>
      <c r="Z186" s="63"/>
    </row>
    <row r="187" spans="1:26" s="29" customFormat="1" ht="21" hidden="1" customHeight="1" x14ac:dyDescent="0.2">
      <c r="A187" s="30"/>
      <c r="B187" s="29" t="s">
        <v>0</v>
      </c>
      <c r="C187" s="40"/>
      <c r="H187" s="41"/>
      <c r="I187" s="35"/>
      <c r="L187" s="42"/>
      <c r="M187" s="28"/>
      <c r="N187" s="75"/>
      <c r="O187" s="72" t="s">
        <v>73</v>
      </c>
      <c r="P187" s="72"/>
      <c r="Q187" s="72"/>
      <c r="R187" s="72"/>
      <c r="S187" s="63"/>
      <c r="T187" s="72" t="s">
        <v>73</v>
      </c>
      <c r="U187" s="109"/>
      <c r="V187" s="74"/>
      <c r="W187" s="109">
        <f>V187+U187</f>
        <v>0</v>
      </c>
      <c r="X187" s="74"/>
      <c r="Y187" s="109">
        <f>IF(W187="","",W187-X187)</f>
        <v>0</v>
      </c>
      <c r="Z187" s="63"/>
    </row>
    <row r="188" spans="1:26" s="29" customFormat="1" ht="21" hidden="1" customHeight="1" x14ac:dyDescent="0.2">
      <c r="A188" s="30"/>
      <c r="B188" s="44" t="s">
        <v>43</v>
      </c>
      <c r="C188" s="62"/>
      <c r="F188" s="468" t="s">
        <v>45</v>
      </c>
      <c r="G188" s="468"/>
      <c r="I188" s="468" t="s">
        <v>46</v>
      </c>
      <c r="J188" s="468"/>
      <c r="K188" s="468"/>
      <c r="L188" s="46"/>
      <c r="N188" s="71"/>
      <c r="O188" s="72" t="s">
        <v>48</v>
      </c>
      <c r="P188" s="72"/>
      <c r="Q188" s="72"/>
      <c r="R188" s="72" t="str">
        <f>IF(Q188="","",R187-Q188)</f>
        <v/>
      </c>
      <c r="S188" s="63"/>
      <c r="T188" s="72" t="s">
        <v>48</v>
      </c>
      <c r="U188" s="109"/>
      <c r="V188" s="74"/>
      <c r="W188" s="109" t="str">
        <f t="shared" ref="W188:W197" si="36">IF(U188="","",U188+V188)</f>
        <v/>
      </c>
      <c r="X188" s="74"/>
      <c r="Y188" s="109" t="str">
        <f t="shared" ref="Y188:Y197" si="37">IF(W188="","",W188-X188)</f>
        <v/>
      </c>
      <c r="Z188" s="63"/>
    </row>
    <row r="189" spans="1:26" s="29" customFormat="1" ht="21" hidden="1" customHeight="1" x14ac:dyDescent="0.2">
      <c r="A189" s="30"/>
      <c r="H189" s="47"/>
      <c r="L189" s="34"/>
      <c r="N189" s="71"/>
      <c r="O189" s="72" t="s">
        <v>49</v>
      </c>
      <c r="P189" s="72"/>
      <c r="Q189" s="72"/>
      <c r="R189" s="72">
        <v>0</v>
      </c>
      <c r="S189" s="63"/>
      <c r="T189" s="72" t="s">
        <v>49</v>
      </c>
      <c r="U189" s="109" t="str">
        <f>IF($J$1="April",Y188,Y188)</f>
        <v/>
      </c>
      <c r="V189" s="74"/>
      <c r="W189" s="109" t="str">
        <f t="shared" si="36"/>
        <v/>
      </c>
      <c r="X189" s="74"/>
      <c r="Y189" s="109" t="str">
        <f t="shared" si="37"/>
        <v/>
      </c>
      <c r="Z189" s="63"/>
    </row>
    <row r="190" spans="1:26" s="29" customFormat="1" ht="21" hidden="1" customHeight="1" x14ac:dyDescent="0.2">
      <c r="A190" s="30"/>
      <c r="B190" s="472" t="s">
        <v>44</v>
      </c>
      <c r="C190" s="473"/>
      <c r="F190" s="48" t="s">
        <v>66</v>
      </c>
      <c r="G190" s="43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7"/>
      <c r="I190" s="49">
        <f>IF(C194&gt;=C193,$K$2,C192+C194)</f>
        <v>31</v>
      </c>
      <c r="J190" s="50" t="s">
        <v>63</v>
      </c>
      <c r="K190" s="51">
        <f>K186/$K$2*I190</f>
        <v>0</v>
      </c>
      <c r="L190" s="52"/>
      <c r="N190" s="71"/>
      <c r="O190" s="72" t="s">
        <v>50</v>
      </c>
      <c r="P190" s="72"/>
      <c r="Q190" s="72"/>
      <c r="R190" s="72" t="str">
        <f t="shared" ref="R190:R195" si="38">IF(Q190="","",R189-Q190)</f>
        <v/>
      </c>
      <c r="S190" s="63"/>
      <c r="T190" s="72" t="s">
        <v>50</v>
      </c>
      <c r="U190" s="109" t="str">
        <f>IF($J$1="May",Y189,"")</f>
        <v/>
      </c>
      <c r="V190" s="74"/>
      <c r="W190" s="109" t="str">
        <f t="shared" si="36"/>
        <v/>
      </c>
      <c r="X190" s="74"/>
      <c r="Y190" s="109" t="str">
        <f t="shared" si="37"/>
        <v/>
      </c>
      <c r="Z190" s="63"/>
    </row>
    <row r="191" spans="1:26" s="29" customFormat="1" ht="21" hidden="1" customHeight="1" x14ac:dyDescent="0.2">
      <c r="A191" s="30"/>
      <c r="B191" s="39"/>
      <c r="C191" s="39"/>
      <c r="F191" s="48" t="s">
        <v>22</v>
      </c>
      <c r="G191" s="43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7"/>
      <c r="I191" s="49"/>
      <c r="J191" s="50" t="s">
        <v>64</v>
      </c>
      <c r="K191" s="53"/>
      <c r="L191" s="54"/>
      <c r="N191" s="71"/>
      <c r="O191" s="72" t="s">
        <v>51</v>
      </c>
      <c r="P191" s="72"/>
      <c r="Q191" s="72"/>
      <c r="R191" s="72" t="str">
        <f t="shared" si="38"/>
        <v/>
      </c>
      <c r="S191" s="63"/>
      <c r="T191" s="72" t="s">
        <v>51</v>
      </c>
      <c r="U191" s="109" t="str">
        <f>IF($J$1="May",Y190,Y190)</f>
        <v/>
      </c>
      <c r="V191" s="74"/>
      <c r="W191" s="109" t="str">
        <f t="shared" si="36"/>
        <v/>
      </c>
      <c r="X191" s="74"/>
      <c r="Y191" s="109" t="str">
        <f t="shared" si="37"/>
        <v/>
      </c>
      <c r="Z191" s="63"/>
    </row>
    <row r="192" spans="1:26" s="29" customFormat="1" ht="21" hidden="1" customHeight="1" x14ac:dyDescent="0.2">
      <c r="A192" s="30"/>
      <c r="B192" s="48" t="s">
        <v>7</v>
      </c>
      <c r="C192" s="39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F192" s="48" t="s">
        <v>67</v>
      </c>
      <c r="G192" s="43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7"/>
      <c r="I192" s="456" t="s">
        <v>71</v>
      </c>
      <c r="J192" s="457"/>
      <c r="K192" s="53">
        <f>K190+K191</f>
        <v>0</v>
      </c>
      <c r="L192" s="54"/>
      <c r="N192" s="71"/>
      <c r="O192" s="72" t="s">
        <v>52</v>
      </c>
      <c r="P192" s="72"/>
      <c r="Q192" s="72"/>
      <c r="R192" s="72" t="str">
        <f t="shared" si="38"/>
        <v/>
      </c>
      <c r="S192" s="63"/>
      <c r="T192" s="72" t="s">
        <v>52</v>
      </c>
      <c r="U192" s="109" t="str">
        <f>IF($J$1="July",Y191,"")</f>
        <v/>
      </c>
      <c r="V192" s="74"/>
      <c r="W192" s="109" t="str">
        <f t="shared" si="36"/>
        <v/>
      </c>
      <c r="X192" s="74"/>
      <c r="Y192" s="109" t="str">
        <f t="shared" si="37"/>
        <v/>
      </c>
      <c r="Z192" s="63"/>
    </row>
    <row r="193" spans="1:26" s="29" customFormat="1" ht="21" hidden="1" customHeight="1" x14ac:dyDescent="0.2">
      <c r="A193" s="30"/>
      <c r="B193" s="48" t="s">
        <v>6</v>
      </c>
      <c r="C193" s="39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F193" s="48" t="s">
        <v>23</v>
      </c>
      <c r="G193" s="43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7"/>
      <c r="I193" s="456" t="s">
        <v>72</v>
      </c>
      <c r="J193" s="457"/>
      <c r="K193" s="43">
        <f>G193</f>
        <v>0</v>
      </c>
      <c r="L193" s="55"/>
      <c r="N193" s="71"/>
      <c r="O193" s="72" t="s">
        <v>53</v>
      </c>
      <c r="P193" s="72"/>
      <c r="Q193" s="72"/>
      <c r="R193" s="72" t="str">
        <f t="shared" si="38"/>
        <v/>
      </c>
      <c r="S193" s="63"/>
      <c r="T193" s="72" t="s">
        <v>53</v>
      </c>
      <c r="U193" s="109" t="str">
        <f>IF($J$1="August",Y192,"")</f>
        <v/>
      </c>
      <c r="V193" s="74"/>
      <c r="W193" s="109" t="str">
        <f t="shared" si="36"/>
        <v/>
      </c>
      <c r="X193" s="74"/>
      <c r="Y193" s="109" t="str">
        <f t="shared" si="37"/>
        <v/>
      </c>
      <c r="Z193" s="63"/>
    </row>
    <row r="194" spans="1:26" s="29" customFormat="1" ht="21" hidden="1" customHeight="1" x14ac:dyDescent="0.2">
      <c r="A194" s="30"/>
      <c r="B194" s="56" t="s">
        <v>70</v>
      </c>
      <c r="C194" s="39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F194" s="48" t="s">
        <v>69</v>
      </c>
      <c r="G194" s="43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I194" s="458" t="s">
        <v>65</v>
      </c>
      <c r="J194" s="459"/>
      <c r="K194" s="57">
        <f>K192-K193</f>
        <v>0</v>
      </c>
      <c r="L194" s="58"/>
      <c r="N194" s="71"/>
      <c r="O194" s="72" t="s">
        <v>58</v>
      </c>
      <c r="P194" s="72"/>
      <c r="Q194" s="72"/>
      <c r="R194" s="72" t="str">
        <f t="shared" si="38"/>
        <v/>
      </c>
      <c r="S194" s="63"/>
      <c r="T194" s="72" t="s">
        <v>58</v>
      </c>
      <c r="U194" s="109" t="str">
        <f>IF($J$1="Sept",Y193,"")</f>
        <v/>
      </c>
      <c r="V194" s="74"/>
      <c r="W194" s="109" t="str">
        <f t="shared" si="36"/>
        <v/>
      </c>
      <c r="X194" s="74"/>
      <c r="Y194" s="109" t="str">
        <f t="shared" si="37"/>
        <v/>
      </c>
      <c r="Z194" s="63"/>
    </row>
    <row r="195" spans="1:26" s="29" customFormat="1" ht="21" hidden="1" customHeight="1" x14ac:dyDescent="0.2">
      <c r="A195" s="30"/>
      <c r="L195" s="46"/>
      <c r="N195" s="71"/>
      <c r="O195" s="72" t="s">
        <v>54</v>
      </c>
      <c r="P195" s="72"/>
      <c r="Q195" s="72"/>
      <c r="R195" s="72" t="str">
        <f t="shared" si="38"/>
        <v/>
      </c>
      <c r="S195" s="63"/>
      <c r="T195" s="72" t="s">
        <v>54</v>
      </c>
      <c r="U195" s="109" t="str">
        <f>IF($J$1="October",Y194,"")</f>
        <v/>
      </c>
      <c r="V195" s="74"/>
      <c r="W195" s="109" t="str">
        <f t="shared" si="36"/>
        <v/>
      </c>
      <c r="X195" s="74"/>
      <c r="Y195" s="109" t="str">
        <f t="shared" si="37"/>
        <v/>
      </c>
      <c r="Z195" s="63"/>
    </row>
    <row r="196" spans="1:26" s="29" customFormat="1" ht="21" hidden="1" customHeight="1" x14ac:dyDescent="0.2">
      <c r="A196" s="30"/>
      <c r="B196" s="455" t="s">
        <v>94</v>
      </c>
      <c r="C196" s="455"/>
      <c r="D196" s="455"/>
      <c r="E196" s="455"/>
      <c r="F196" s="455"/>
      <c r="G196" s="455"/>
      <c r="H196" s="455"/>
      <c r="I196" s="455"/>
      <c r="J196" s="455"/>
      <c r="K196" s="455"/>
      <c r="L196" s="46"/>
      <c r="N196" s="71"/>
      <c r="O196" s="72" t="s">
        <v>59</v>
      </c>
      <c r="P196" s="72"/>
      <c r="Q196" s="72"/>
      <c r="R196" s="72">
        <v>0</v>
      </c>
      <c r="S196" s="63"/>
      <c r="T196" s="72" t="s">
        <v>59</v>
      </c>
      <c r="U196" s="109" t="str">
        <f>IF($J$1="November",Y195,"")</f>
        <v/>
      </c>
      <c r="V196" s="74"/>
      <c r="W196" s="109" t="str">
        <f t="shared" si="36"/>
        <v/>
      </c>
      <c r="X196" s="74"/>
      <c r="Y196" s="109" t="str">
        <f t="shared" si="37"/>
        <v/>
      </c>
      <c r="Z196" s="63"/>
    </row>
    <row r="197" spans="1:26" s="29" customFormat="1" ht="21" hidden="1" customHeight="1" x14ac:dyDescent="0.2">
      <c r="A197" s="30"/>
      <c r="B197" s="455"/>
      <c r="C197" s="455"/>
      <c r="D197" s="455"/>
      <c r="E197" s="455"/>
      <c r="F197" s="455"/>
      <c r="G197" s="455"/>
      <c r="H197" s="455"/>
      <c r="I197" s="455"/>
      <c r="J197" s="455"/>
      <c r="K197" s="455"/>
      <c r="L197" s="46"/>
      <c r="N197" s="71"/>
      <c r="O197" s="72" t="s">
        <v>60</v>
      </c>
      <c r="P197" s="72"/>
      <c r="Q197" s="72"/>
      <c r="R197" s="72">
        <v>0</v>
      </c>
      <c r="S197" s="63"/>
      <c r="T197" s="72" t="s">
        <v>60</v>
      </c>
      <c r="U197" s="109" t="str">
        <f>IF($J$1="Dec",Y196,"")</f>
        <v/>
      </c>
      <c r="V197" s="74"/>
      <c r="W197" s="109" t="str">
        <f t="shared" si="36"/>
        <v/>
      </c>
      <c r="X197" s="74"/>
      <c r="Y197" s="109" t="str">
        <f t="shared" si="37"/>
        <v/>
      </c>
      <c r="Z197" s="63"/>
    </row>
    <row r="198" spans="1:26" s="29" customFormat="1" ht="21" hidden="1" customHeight="1" thickBot="1" x14ac:dyDescent="0.25">
      <c r="A198" s="5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1"/>
      <c r="N198" s="77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63"/>
    </row>
    <row r="199" spans="1:26" s="29" customFormat="1" ht="21" hidden="1" customHeight="1" thickBot="1" x14ac:dyDescent="0.25"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s="29" customFormat="1" ht="21" hidden="1" customHeight="1" x14ac:dyDescent="0.2">
      <c r="A200" s="463" t="s">
        <v>42</v>
      </c>
      <c r="B200" s="464"/>
      <c r="C200" s="464"/>
      <c r="D200" s="464"/>
      <c r="E200" s="464"/>
      <c r="F200" s="464"/>
      <c r="G200" s="464"/>
      <c r="H200" s="464"/>
      <c r="I200" s="464"/>
      <c r="J200" s="464"/>
      <c r="K200" s="464"/>
      <c r="L200" s="465"/>
      <c r="M200" s="28"/>
      <c r="N200" s="64"/>
      <c r="O200" s="469" t="s">
        <v>44</v>
      </c>
      <c r="P200" s="470"/>
      <c r="Q200" s="470"/>
      <c r="R200" s="471"/>
      <c r="S200" s="65"/>
      <c r="T200" s="469" t="s">
        <v>45</v>
      </c>
      <c r="U200" s="470"/>
      <c r="V200" s="470"/>
      <c r="W200" s="470"/>
      <c r="X200" s="470"/>
      <c r="Y200" s="471"/>
      <c r="Z200" s="63"/>
    </row>
    <row r="201" spans="1:26" s="29" customFormat="1" ht="21" hidden="1" customHeight="1" x14ac:dyDescent="0.2">
      <c r="A201" s="30"/>
      <c r="C201" s="466" t="s">
        <v>92</v>
      </c>
      <c r="D201" s="466"/>
      <c r="E201" s="466"/>
      <c r="F201" s="466"/>
      <c r="G201" s="31" t="str">
        <f>$J$1</f>
        <v>October</v>
      </c>
      <c r="H201" s="467">
        <f>$K$1</f>
        <v>2022</v>
      </c>
      <c r="I201" s="467"/>
      <c r="K201" s="32"/>
      <c r="L201" s="33"/>
      <c r="M201" s="32"/>
      <c r="N201" s="67"/>
      <c r="O201" s="68" t="s">
        <v>55</v>
      </c>
      <c r="P201" s="68" t="s">
        <v>7</v>
      </c>
      <c r="Q201" s="68" t="s">
        <v>6</v>
      </c>
      <c r="R201" s="68" t="s">
        <v>56</v>
      </c>
      <c r="S201" s="69"/>
      <c r="T201" s="68" t="s">
        <v>55</v>
      </c>
      <c r="U201" s="68" t="s">
        <v>57</v>
      </c>
      <c r="V201" s="68" t="s">
        <v>22</v>
      </c>
      <c r="W201" s="68" t="s">
        <v>21</v>
      </c>
      <c r="X201" s="68" t="s">
        <v>23</v>
      </c>
      <c r="Y201" s="68" t="s">
        <v>61</v>
      </c>
      <c r="Z201" s="63"/>
    </row>
    <row r="202" spans="1:26" s="29" customFormat="1" ht="21" hidden="1" customHeight="1" x14ac:dyDescent="0.2">
      <c r="A202" s="30"/>
      <c r="D202" s="35"/>
      <c r="E202" s="35"/>
      <c r="F202" s="35"/>
      <c r="G202" s="35"/>
      <c r="H202" s="35"/>
      <c r="J202" s="36" t="s">
        <v>1</v>
      </c>
      <c r="K202" s="37"/>
      <c r="L202" s="38"/>
      <c r="N202" s="71"/>
      <c r="O202" s="72" t="s">
        <v>47</v>
      </c>
      <c r="P202" s="72"/>
      <c r="Q202" s="72"/>
      <c r="R202" s="72">
        <f>5-Q202</f>
        <v>5</v>
      </c>
      <c r="S202" s="73"/>
      <c r="T202" s="72" t="s">
        <v>47</v>
      </c>
      <c r="U202" s="74"/>
      <c r="V202" s="74"/>
      <c r="W202" s="74">
        <f>V202+U202</f>
        <v>0</v>
      </c>
      <c r="X202" s="74"/>
      <c r="Y202" s="74">
        <f>W202-X202</f>
        <v>0</v>
      </c>
      <c r="Z202" s="63"/>
    </row>
    <row r="203" spans="1:26" s="29" customFormat="1" ht="21" hidden="1" customHeight="1" x14ac:dyDescent="0.2">
      <c r="A203" s="30"/>
      <c r="B203" s="29" t="s">
        <v>0</v>
      </c>
      <c r="C203" s="40"/>
      <c r="H203" s="41"/>
      <c r="I203" s="35"/>
      <c r="L203" s="42"/>
      <c r="M203" s="28"/>
      <c r="N203" s="75"/>
      <c r="O203" s="72" t="s">
        <v>73</v>
      </c>
      <c r="P203" s="72"/>
      <c r="Q203" s="72"/>
      <c r="R203" s="72">
        <f t="shared" ref="R203:R208" si="39">R202-Q203</f>
        <v>5</v>
      </c>
      <c r="S203" s="63"/>
      <c r="T203" s="72" t="s">
        <v>73</v>
      </c>
      <c r="U203" s="109">
        <f>Y202</f>
        <v>0</v>
      </c>
      <c r="V203" s="74"/>
      <c r="W203" s="109">
        <f>IF(U203="","",U203+V203)</f>
        <v>0</v>
      </c>
      <c r="X203" s="74"/>
      <c r="Y203" s="109">
        <f>IF(W203="","",W203-X203)</f>
        <v>0</v>
      </c>
      <c r="Z203" s="63"/>
    </row>
    <row r="204" spans="1:26" s="29" customFormat="1" ht="21" hidden="1" customHeight="1" x14ac:dyDescent="0.2">
      <c r="A204" s="30"/>
      <c r="B204" s="44" t="s">
        <v>43</v>
      </c>
      <c r="C204" s="62"/>
      <c r="F204" s="468" t="s">
        <v>45</v>
      </c>
      <c r="G204" s="468"/>
      <c r="I204" s="468" t="s">
        <v>46</v>
      </c>
      <c r="J204" s="468"/>
      <c r="K204" s="468"/>
      <c r="L204" s="46"/>
      <c r="N204" s="71"/>
      <c r="O204" s="72" t="s">
        <v>48</v>
      </c>
      <c r="P204" s="72"/>
      <c r="Q204" s="72"/>
      <c r="R204" s="72">
        <f t="shared" si="39"/>
        <v>5</v>
      </c>
      <c r="S204" s="63"/>
      <c r="T204" s="72" t="s">
        <v>48</v>
      </c>
      <c r="U204" s="109"/>
      <c r="V204" s="74"/>
      <c r="W204" s="109" t="str">
        <f t="shared" ref="W204:W213" si="40">IF(U204="","",U204+V204)</f>
        <v/>
      </c>
      <c r="X204" s="74"/>
      <c r="Y204" s="109" t="str">
        <f t="shared" ref="Y204:Y213" si="41">IF(W204="","",W204-X204)</f>
        <v/>
      </c>
      <c r="Z204" s="63"/>
    </row>
    <row r="205" spans="1:26" s="29" customFormat="1" ht="21" hidden="1" customHeight="1" x14ac:dyDescent="0.2">
      <c r="A205" s="30"/>
      <c r="H205" s="47"/>
      <c r="L205" s="34"/>
      <c r="N205" s="71"/>
      <c r="O205" s="72" t="s">
        <v>49</v>
      </c>
      <c r="P205" s="72"/>
      <c r="Q205" s="72"/>
      <c r="R205" s="72">
        <f t="shared" si="39"/>
        <v>5</v>
      </c>
      <c r="S205" s="63"/>
      <c r="T205" s="72" t="s">
        <v>49</v>
      </c>
      <c r="U205" s="109"/>
      <c r="V205" s="74"/>
      <c r="W205" s="109" t="str">
        <f t="shared" si="40"/>
        <v/>
      </c>
      <c r="X205" s="74"/>
      <c r="Y205" s="109" t="str">
        <f t="shared" si="41"/>
        <v/>
      </c>
      <c r="Z205" s="63"/>
    </row>
    <row r="206" spans="1:26" s="29" customFormat="1" ht="21" hidden="1" customHeight="1" x14ac:dyDescent="0.2">
      <c r="A206" s="30"/>
      <c r="B206" s="472" t="s">
        <v>44</v>
      </c>
      <c r="C206" s="473"/>
      <c r="F206" s="48" t="s">
        <v>66</v>
      </c>
      <c r="G206" s="43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7"/>
      <c r="I206" s="49">
        <v>28</v>
      </c>
      <c r="J206" s="50" t="s">
        <v>63</v>
      </c>
      <c r="K206" s="51">
        <f>K202/$K$2*I206</f>
        <v>0</v>
      </c>
      <c r="L206" s="52"/>
      <c r="N206" s="71"/>
      <c r="O206" s="72" t="s">
        <v>50</v>
      </c>
      <c r="P206" s="72"/>
      <c r="Q206" s="72"/>
      <c r="R206" s="72">
        <f t="shared" si="39"/>
        <v>5</v>
      </c>
      <c r="S206" s="63"/>
      <c r="T206" s="72" t="s">
        <v>50</v>
      </c>
      <c r="U206" s="109"/>
      <c r="V206" s="74"/>
      <c r="W206" s="74">
        <f>V206+U206</f>
        <v>0</v>
      </c>
      <c r="X206" s="74"/>
      <c r="Y206" s="109">
        <f t="shared" si="41"/>
        <v>0</v>
      </c>
      <c r="Z206" s="63"/>
    </row>
    <row r="207" spans="1:26" s="29" customFormat="1" ht="21" hidden="1" customHeight="1" x14ac:dyDescent="0.2">
      <c r="A207" s="30"/>
      <c r="B207" s="39"/>
      <c r="C207" s="39"/>
      <c r="F207" s="48" t="s">
        <v>22</v>
      </c>
      <c r="G207" s="43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7"/>
      <c r="I207" s="49">
        <v>12</v>
      </c>
      <c r="J207" s="50" t="s">
        <v>64</v>
      </c>
      <c r="K207" s="53">
        <f>K202/$K$2/8*I207</f>
        <v>0</v>
      </c>
      <c r="L207" s="54"/>
      <c r="N207" s="71"/>
      <c r="O207" s="72" t="s">
        <v>51</v>
      </c>
      <c r="P207" s="72"/>
      <c r="Q207" s="72"/>
      <c r="R207" s="72">
        <f t="shared" si="39"/>
        <v>5</v>
      </c>
      <c r="S207" s="63"/>
      <c r="T207" s="72" t="s">
        <v>51</v>
      </c>
      <c r="U207" s="109">
        <f t="shared" ref="U207:U212" si="42">Y206</f>
        <v>0</v>
      </c>
      <c r="V207" s="74"/>
      <c r="W207" s="109">
        <f t="shared" si="40"/>
        <v>0</v>
      </c>
      <c r="X207" s="74"/>
      <c r="Y207" s="109">
        <f t="shared" si="41"/>
        <v>0</v>
      </c>
      <c r="Z207" s="63"/>
    </row>
    <row r="208" spans="1:26" s="29" customFormat="1" ht="21" hidden="1" customHeight="1" x14ac:dyDescent="0.2">
      <c r="A208" s="30"/>
      <c r="B208" s="48" t="s">
        <v>7</v>
      </c>
      <c r="C208" s="39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F208" s="48" t="s">
        <v>67</v>
      </c>
      <c r="G208" s="43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7"/>
      <c r="I208" s="456" t="s">
        <v>71</v>
      </c>
      <c r="J208" s="457"/>
      <c r="K208" s="53">
        <f>K206+K207</f>
        <v>0</v>
      </c>
      <c r="L208" s="54"/>
      <c r="N208" s="71"/>
      <c r="O208" s="72" t="s">
        <v>52</v>
      </c>
      <c r="P208" s="72"/>
      <c r="Q208" s="72"/>
      <c r="R208" s="72">
        <f t="shared" si="39"/>
        <v>5</v>
      </c>
      <c r="S208" s="63"/>
      <c r="T208" s="72" t="s">
        <v>52</v>
      </c>
      <c r="U208" s="109">
        <f t="shared" si="42"/>
        <v>0</v>
      </c>
      <c r="V208" s="74"/>
      <c r="W208" s="109">
        <f t="shared" si="40"/>
        <v>0</v>
      </c>
      <c r="X208" s="74"/>
      <c r="Y208" s="109">
        <f t="shared" si="41"/>
        <v>0</v>
      </c>
      <c r="Z208" s="63"/>
    </row>
    <row r="209" spans="1:27" s="29" customFormat="1" ht="21" hidden="1" customHeight="1" x14ac:dyDescent="0.2">
      <c r="A209" s="30"/>
      <c r="B209" s="48" t="s">
        <v>6</v>
      </c>
      <c r="C209" s="39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F209" s="48" t="s">
        <v>23</v>
      </c>
      <c r="G209" s="43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7"/>
      <c r="I209" s="456" t="s">
        <v>72</v>
      </c>
      <c r="J209" s="457"/>
      <c r="K209" s="43">
        <f>G209</f>
        <v>0</v>
      </c>
      <c r="L209" s="55"/>
      <c r="N209" s="71"/>
      <c r="O209" s="72" t="s">
        <v>53</v>
      </c>
      <c r="P209" s="72"/>
      <c r="Q209" s="72"/>
      <c r="R209" s="72">
        <v>0</v>
      </c>
      <c r="S209" s="63"/>
      <c r="T209" s="72" t="s">
        <v>53</v>
      </c>
      <c r="U209" s="109">
        <f t="shared" si="42"/>
        <v>0</v>
      </c>
      <c r="V209" s="74"/>
      <c r="W209" s="109">
        <f t="shared" si="40"/>
        <v>0</v>
      </c>
      <c r="X209" s="74"/>
      <c r="Y209" s="109">
        <f t="shared" si="41"/>
        <v>0</v>
      </c>
      <c r="Z209" s="63"/>
    </row>
    <row r="210" spans="1:27" s="29" customFormat="1" ht="21" hidden="1" customHeight="1" x14ac:dyDescent="0.2">
      <c r="A210" s="30"/>
      <c r="B210" s="56" t="s">
        <v>70</v>
      </c>
      <c r="C210" s="39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F210" s="48" t="s">
        <v>69</v>
      </c>
      <c r="G210" s="43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I210" s="458" t="s">
        <v>65</v>
      </c>
      <c r="J210" s="459"/>
      <c r="K210" s="57">
        <f>K208-K209</f>
        <v>0</v>
      </c>
      <c r="L210" s="58"/>
      <c r="N210" s="71"/>
      <c r="O210" s="72" t="s">
        <v>58</v>
      </c>
      <c r="P210" s="72"/>
      <c r="Q210" s="72"/>
      <c r="R210" s="72">
        <v>13</v>
      </c>
      <c r="S210" s="63"/>
      <c r="T210" s="72" t="s">
        <v>58</v>
      </c>
      <c r="U210" s="109">
        <f t="shared" si="42"/>
        <v>0</v>
      </c>
      <c r="V210" s="74"/>
      <c r="W210" s="109">
        <f t="shared" si="40"/>
        <v>0</v>
      </c>
      <c r="X210" s="74"/>
      <c r="Y210" s="109">
        <f t="shared" si="41"/>
        <v>0</v>
      </c>
      <c r="Z210" s="63"/>
    </row>
    <row r="211" spans="1:27" s="29" customFormat="1" ht="21" hidden="1" customHeight="1" x14ac:dyDescent="0.2">
      <c r="A211" s="30"/>
      <c r="K211" s="113"/>
      <c r="L211" s="46"/>
      <c r="N211" s="71"/>
      <c r="O211" s="72" t="s">
        <v>54</v>
      </c>
      <c r="P211" s="72"/>
      <c r="Q211" s="72"/>
      <c r="R211" s="72">
        <f t="shared" ref="R211:R213" si="43">R210-Q211</f>
        <v>13</v>
      </c>
      <c r="S211" s="63"/>
      <c r="T211" s="72" t="s">
        <v>54</v>
      </c>
      <c r="U211" s="109">
        <f t="shared" si="42"/>
        <v>0</v>
      </c>
      <c r="V211" s="74"/>
      <c r="W211" s="109">
        <f t="shared" si="40"/>
        <v>0</v>
      </c>
      <c r="X211" s="74"/>
      <c r="Y211" s="109">
        <f t="shared" si="41"/>
        <v>0</v>
      </c>
      <c r="Z211" s="63"/>
    </row>
    <row r="212" spans="1:27" s="29" customFormat="1" ht="21" hidden="1" customHeight="1" x14ac:dyDescent="0.2">
      <c r="A212" s="30"/>
      <c r="B212" s="455" t="s">
        <v>94</v>
      </c>
      <c r="C212" s="455"/>
      <c r="D212" s="455"/>
      <c r="E212" s="455"/>
      <c r="F212" s="455"/>
      <c r="G212" s="455"/>
      <c r="H212" s="455"/>
      <c r="I212" s="455"/>
      <c r="J212" s="455"/>
      <c r="K212" s="455"/>
      <c r="L212" s="46"/>
      <c r="N212" s="71"/>
      <c r="O212" s="72" t="s">
        <v>59</v>
      </c>
      <c r="P212" s="72"/>
      <c r="Q212" s="72"/>
      <c r="R212" s="72">
        <f t="shared" si="43"/>
        <v>13</v>
      </c>
      <c r="S212" s="63"/>
      <c r="T212" s="72" t="s">
        <v>59</v>
      </c>
      <c r="U212" s="109">
        <f t="shared" si="42"/>
        <v>0</v>
      </c>
      <c r="V212" s="74"/>
      <c r="W212" s="109">
        <f t="shared" si="40"/>
        <v>0</v>
      </c>
      <c r="X212" s="74"/>
      <c r="Y212" s="109">
        <f t="shared" si="41"/>
        <v>0</v>
      </c>
      <c r="Z212" s="63"/>
    </row>
    <row r="213" spans="1:27" s="29" customFormat="1" ht="21" hidden="1" customHeight="1" x14ac:dyDescent="0.2">
      <c r="A213" s="30"/>
      <c r="B213" s="455"/>
      <c r="C213" s="455"/>
      <c r="D213" s="455"/>
      <c r="E213" s="455"/>
      <c r="F213" s="455"/>
      <c r="G213" s="455"/>
      <c r="H213" s="455"/>
      <c r="I213" s="455"/>
      <c r="J213" s="455"/>
      <c r="K213" s="455"/>
      <c r="L213" s="46"/>
      <c r="N213" s="71"/>
      <c r="O213" s="72" t="s">
        <v>60</v>
      </c>
      <c r="P213" s="72"/>
      <c r="Q213" s="72"/>
      <c r="R213" s="72">
        <f t="shared" si="43"/>
        <v>13</v>
      </c>
      <c r="S213" s="63"/>
      <c r="T213" s="72" t="s">
        <v>60</v>
      </c>
      <c r="U213" s="109">
        <f>Y212</f>
        <v>0</v>
      </c>
      <c r="V213" s="74"/>
      <c r="W213" s="109">
        <f t="shared" si="40"/>
        <v>0</v>
      </c>
      <c r="X213" s="74"/>
      <c r="Y213" s="109">
        <f t="shared" si="41"/>
        <v>0</v>
      </c>
      <c r="Z213" s="63"/>
    </row>
    <row r="214" spans="1:27" s="29" customFormat="1" ht="21" hidden="1" customHeight="1" thickBot="1" x14ac:dyDescent="0.25">
      <c r="A214" s="5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1"/>
      <c r="N214" s="77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63"/>
    </row>
    <row r="215" spans="1:27" s="29" customFormat="1" ht="21" customHeight="1" thickBot="1" x14ac:dyDescent="0.25"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7" s="29" customFormat="1" ht="21" customHeight="1" x14ac:dyDescent="0.2">
      <c r="A216" s="488" t="s">
        <v>42</v>
      </c>
      <c r="B216" s="489"/>
      <c r="C216" s="489"/>
      <c r="D216" s="489"/>
      <c r="E216" s="489"/>
      <c r="F216" s="489"/>
      <c r="G216" s="489"/>
      <c r="H216" s="489"/>
      <c r="I216" s="489"/>
      <c r="J216" s="489"/>
      <c r="K216" s="489"/>
      <c r="L216" s="490"/>
      <c r="M216" s="28"/>
      <c r="N216" s="64"/>
      <c r="O216" s="469" t="s">
        <v>44</v>
      </c>
      <c r="P216" s="470"/>
      <c r="Q216" s="470"/>
      <c r="R216" s="471"/>
      <c r="S216" s="65"/>
      <c r="T216" s="469" t="s">
        <v>45</v>
      </c>
      <c r="U216" s="470"/>
      <c r="V216" s="470"/>
      <c r="W216" s="470"/>
      <c r="X216" s="470"/>
      <c r="Y216" s="471"/>
      <c r="Z216" s="66"/>
      <c r="AA216" s="28"/>
    </row>
    <row r="217" spans="1:27" s="29" customFormat="1" ht="21" customHeight="1" x14ac:dyDescent="0.2">
      <c r="A217" s="30"/>
      <c r="C217" s="466" t="s">
        <v>92</v>
      </c>
      <c r="D217" s="466"/>
      <c r="E217" s="466"/>
      <c r="F217" s="466"/>
      <c r="G217" s="31" t="str">
        <f>$J$1</f>
        <v>October</v>
      </c>
      <c r="H217" s="467">
        <f>$K$1</f>
        <v>2022</v>
      </c>
      <c r="I217" s="467"/>
      <c r="K217" s="32"/>
      <c r="L217" s="33"/>
      <c r="M217" s="32"/>
      <c r="N217" s="67"/>
      <c r="O217" s="68" t="s">
        <v>55</v>
      </c>
      <c r="P217" s="68" t="s">
        <v>7</v>
      </c>
      <c r="Q217" s="68" t="s">
        <v>6</v>
      </c>
      <c r="R217" s="68" t="s">
        <v>56</v>
      </c>
      <c r="S217" s="69"/>
      <c r="T217" s="68" t="s">
        <v>55</v>
      </c>
      <c r="U217" s="68" t="s">
        <v>57</v>
      </c>
      <c r="V217" s="68" t="s">
        <v>22</v>
      </c>
      <c r="W217" s="68" t="s">
        <v>21</v>
      </c>
      <c r="X217" s="68" t="s">
        <v>23</v>
      </c>
      <c r="Y217" s="68" t="s">
        <v>61</v>
      </c>
      <c r="Z217" s="70"/>
      <c r="AA217" s="32"/>
    </row>
    <row r="218" spans="1:27" s="29" customFormat="1" ht="21" customHeight="1" x14ac:dyDescent="0.2">
      <c r="A218" s="30"/>
      <c r="D218" s="35"/>
      <c r="E218" s="35"/>
      <c r="F218" s="35"/>
      <c r="G218" s="35"/>
      <c r="H218" s="35"/>
      <c r="J218" s="36" t="s">
        <v>1</v>
      </c>
      <c r="K218" s="37">
        <f>35000+3000</f>
        <v>38000</v>
      </c>
      <c r="L218" s="38"/>
      <c r="N218" s="71"/>
      <c r="O218" s="72" t="s">
        <v>47</v>
      </c>
      <c r="P218" s="72">
        <v>30</v>
      </c>
      <c r="Q218" s="72">
        <v>1</v>
      </c>
      <c r="R218" s="72">
        <f>15-Q218</f>
        <v>14</v>
      </c>
      <c r="S218" s="73"/>
      <c r="T218" s="72" t="s">
        <v>47</v>
      </c>
      <c r="U218" s="74">
        <v>118000</v>
      </c>
      <c r="V218" s="74">
        <v>5000</v>
      </c>
      <c r="W218" s="74">
        <f>V218+U218</f>
        <v>123000</v>
      </c>
      <c r="X218" s="74">
        <v>7500</v>
      </c>
      <c r="Y218" s="74">
        <f>W218-X218</f>
        <v>115500</v>
      </c>
      <c r="Z218" s="70"/>
    </row>
    <row r="219" spans="1:27" s="29" customFormat="1" ht="21" customHeight="1" x14ac:dyDescent="0.2">
      <c r="A219" s="30"/>
      <c r="B219" s="29" t="s">
        <v>0</v>
      </c>
      <c r="C219" s="40" t="s">
        <v>90</v>
      </c>
      <c r="H219" s="41"/>
      <c r="I219" s="35"/>
      <c r="L219" s="42"/>
      <c r="M219" s="28"/>
      <c r="N219" s="75"/>
      <c r="O219" s="72" t="s">
        <v>73</v>
      </c>
      <c r="P219" s="72">
        <v>25</v>
      </c>
      <c r="Q219" s="72">
        <v>3</v>
      </c>
      <c r="R219" s="72">
        <f t="shared" ref="R219:R229" si="44">IF(Q219="","",R218-Q219)</f>
        <v>11</v>
      </c>
      <c r="S219" s="63"/>
      <c r="T219" s="72" t="s">
        <v>73</v>
      </c>
      <c r="U219" s="109">
        <f t="shared" ref="U219:U224" si="45">Y218</f>
        <v>115500</v>
      </c>
      <c r="V219" s="74">
        <v>2000</v>
      </c>
      <c r="W219" s="109">
        <f>IF(U219="","",U219+V219)</f>
        <v>117500</v>
      </c>
      <c r="X219" s="74">
        <v>7000</v>
      </c>
      <c r="Y219" s="109">
        <f>IF(W219="","",W219-X219)</f>
        <v>110500</v>
      </c>
      <c r="Z219" s="76"/>
      <c r="AA219" s="28"/>
    </row>
    <row r="220" spans="1:27" s="29" customFormat="1" ht="21" customHeight="1" x14ac:dyDescent="0.2">
      <c r="A220" s="30"/>
      <c r="B220" s="44" t="s">
        <v>43</v>
      </c>
      <c r="C220" s="45" t="s">
        <v>91</v>
      </c>
      <c r="F220" s="468" t="s">
        <v>45</v>
      </c>
      <c r="G220" s="468"/>
      <c r="I220" s="468" t="s">
        <v>46</v>
      </c>
      <c r="J220" s="468"/>
      <c r="K220" s="468"/>
      <c r="L220" s="46"/>
      <c r="N220" s="71"/>
      <c r="O220" s="72" t="s">
        <v>48</v>
      </c>
      <c r="P220" s="72">
        <v>31</v>
      </c>
      <c r="Q220" s="72">
        <v>0</v>
      </c>
      <c r="R220" s="72">
        <f t="shared" si="44"/>
        <v>11</v>
      </c>
      <c r="S220" s="63"/>
      <c r="T220" s="72" t="s">
        <v>48</v>
      </c>
      <c r="U220" s="109">
        <f t="shared" si="45"/>
        <v>110500</v>
      </c>
      <c r="V220" s="74">
        <v>5000</v>
      </c>
      <c r="W220" s="109">
        <f t="shared" ref="W220:W229" si="46">IF(U220="","",U220+V220)</f>
        <v>115500</v>
      </c>
      <c r="X220" s="74">
        <v>10000</v>
      </c>
      <c r="Y220" s="109">
        <f t="shared" ref="Y220:Y229" si="47">IF(W220="","",W220-X220)</f>
        <v>105500</v>
      </c>
      <c r="Z220" s="76"/>
    </row>
    <row r="221" spans="1:27" s="29" customFormat="1" ht="21" customHeight="1" x14ac:dyDescent="0.2">
      <c r="A221" s="30"/>
      <c r="H221" s="47"/>
      <c r="L221" s="34"/>
      <c r="N221" s="71"/>
      <c r="O221" s="72" t="s">
        <v>49</v>
      </c>
      <c r="P221" s="72">
        <v>29</v>
      </c>
      <c r="Q221" s="72">
        <v>1</v>
      </c>
      <c r="R221" s="72">
        <f t="shared" si="44"/>
        <v>10</v>
      </c>
      <c r="S221" s="63"/>
      <c r="T221" s="72" t="s">
        <v>49</v>
      </c>
      <c r="U221" s="109">
        <f t="shared" si="45"/>
        <v>105500</v>
      </c>
      <c r="V221" s="74">
        <v>1800</v>
      </c>
      <c r="W221" s="109">
        <f t="shared" si="46"/>
        <v>107300</v>
      </c>
      <c r="X221" s="74">
        <v>6800</v>
      </c>
      <c r="Y221" s="109">
        <f t="shared" si="47"/>
        <v>100500</v>
      </c>
      <c r="Z221" s="76"/>
    </row>
    <row r="222" spans="1:27" s="29" customFormat="1" ht="21" customHeight="1" x14ac:dyDescent="0.2">
      <c r="A222" s="30"/>
      <c r="B222" s="472" t="s">
        <v>44</v>
      </c>
      <c r="C222" s="473"/>
      <c r="F222" s="48" t="s">
        <v>66</v>
      </c>
      <c r="G222" s="115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85500</v>
      </c>
      <c r="H222" s="47"/>
      <c r="I222" s="49">
        <f>IF(C226&gt;0,$K$2,C224)</f>
        <v>31</v>
      </c>
      <c r="J222" s="50" t="s">
        <v>63</v>
      </c>
      <c r="K222" s="51">
        <f>K218/$K$2*I222</f>
        <v>38000</v>
      </c>
      <c r="L222" s="52"/>
      <c r="N222" s="71"/>
      <c r="O222" s="72" t="s">
        <v>50</v>
      </c>
      <c r="P222" s="72">
        <v>29</v>
      </c>
      <c r="Q222" s="72">
        <v>2</v>
      </c>
      <c r="R222" s="72">
        <f t="shared" si="44"/>
        <v>8</v>
      </c>
      <c r="S222" s="63"/>
      <c r="T222" s="72" t="s">
        <v>50</v>
      </c>
      <c r="U222" s="109">
        <f t="shared" si="45"/>
        <v>100500</v>
      </c>
      <c r="V222" s="74"/>
      <c r="W222" s="109">
        <f t="shared" si="46"/>
        <v>100500</v>
      </c>
      <c r="X222" s="74">
        <v>5000</v>
      </c>
      <c r="Y222" s="109">
        <f t="shared" si="47"/>
        <v>95500</v>
      </c>
      <c r="Z222" s="76"/>
    </row>
    <row r="223" spans="1:27" s="29" customFormat="1" ht="21" customHeight="1" x14ac:dyDescent="0.2">
      <c r="A223" s="30"/>
      <c r="B223" s="39"/>
      <c r="C223" s="39"/>
      <c r="F223" s="48" t="s">
        <v>22</v>
      </c>
      <c r="G223" s="115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12050</v>
      </c>
      <c r="H223" s="47"/>
      <c r="I223" s="84">
        <v>4</v>
      </c>
      <c r="J223" s="50" t="s">
        <v>64</v>
      </c>
      <c r="K223" s="53">
        <f>K218/$K$2/8*I223</f>
        <v>612.90322580645159</v>
      </c>
      <c r="L223" s="54"/>
      <c r="N223" s="71"/>
      <c r="O223" s="72" t="s">
        <v>51</v>
      </c>
      <c r="P223" s="72">
        <v>30</v>
      </c>
      <c r="Q223" s="72">
        <v>0</v>
      </c>
      <c r="R223" s="72">
        <f t="shared" si="44"/>
        <v>8</v>
      </c>
      <c r="S223" s="63"/>
      <c r="T223" s="72" t="s">
        <v>51</v>
      </c>
      <c r="U223" s="109">
        <f t="shared" si="45"/>
        <v>95500</v>
      </c>
      <c r="V223" s="74"/>
      <c r="W223" s="109">
        <f t="shared" si="46"/>
        <v>95500</v>
      </c>
      <c r="X223" s="74"/>
      <c r="Y223" s="109">
        <f t="shared" si="47"/>
        <v>95500</v>
      </c>
      <c r="Z223" s="76"/>
    </row>
    <row r="224" spans="1:27" s="29" customFormat="1" ht="21" customHeight="1" x14ac:dyDescent="0.2">
      <c r="A224" s="30"/>
      <c r="B224" s="48" t="s">
        <v>7</v>
      </c>
      <c r="C224" s="39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31</v>
      </c>
      <c r="F224" s="48" t="s">
        <v>67</v>
      </c>
      <c r="G224" s="115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97550</v>
      </c>
      <c r="H224" s="47"/>
      <c r="I224" s="456" t="s">
        <v>71</v>
      </c>
      <c r="J224" s="457"/>
      <c r="K224" s="53">
        <f>K222+K223</f>
        <v>38612.903225806454</v>
      </c>
      <c r="L224" s="54"/>
      <c r="N224" s="71"/>
      <c r="O224" s="72" t="s">
        <v>52</v>
      </c>
      <c r="P224" s="72">
        <v>27</v>
      </c>
      <c r="Q224" s="72">
        <v>4</v>
      </c>
      <c r="R224" s="72">
        <f t="shared" si="44"/>
        <v>4</v>
      </c>
      <c r="S224" s="63"/>
      <c r="T224" s="72" t="s">
        <v>52</v>
      </c>
      <c r="U224" s="109">
        <f t="shared" si="45"/>
        <v>95500</v>
      </c>
      <c r="V224" s="74"/>
      <c r="W224" s="109">
        <f t="shared" si="46"/>
        <v>95500</v>
      </c>
      <c r="X224" s="74">
        <v>5000</v>
      </c>
      <c r="Y224" s="109">
        <f t="shared" si="47"/>
        <v>90500</v>
      </c>
      <c r="Z224" s="76"/>
    </row>
    <row r="225" spans="1:27" s="29" customFormat="1" ht="21" customHeight="1" x14ac:dyDescent="0.2">
      <c r="A225" s="30"/>
      <c r="B225" s="48" t="s">
        <v>6</v>
      </c>
      <c r="C225" s="39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F225" s="48" t="s">
        <v>23</v>
      </c>
      <c r="G225" s="115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12050</v>
      </c>
      <c r="H225" s="47"/>
      <c r="I225" s="456" t="s">
        <v>72</v>
      </c>
      <c r="J225" s="457"/>
      <c r="K225" s="43">
        <f>G225</f>
        <v>12050</v>
      </c>
      <c r="L225" s="55"/>
      <c r="N225" s="71"/>
      <c r="O225" s="72" t="s">
        <v>53</v>
      </c>
      <c r="P225" s="72">
        <v>31</v>
      </c>
      <c r="Q225" s="72">
        <v>0</v>
      </c>
      <c r="R225" s="72">
        <f t="shared" si="44"/>
        <v>4</v>
      </c>
      <c r="S225" s="63"/>
      <c r="T225" s="72" t="s">
        <v>53</v>
      </c>
      <c r="U225" s="109">
        <f>Y224</f>
        <v>90500</v>
      </c>
      <c r="V225" s="74"/>
      <c r="W225" s="109">
        <f t="shared" si="46"/>
        <v>90500</v>
      </c>
      <c r="X225" s="74">
        <v>5000</v>
      </c>
      <c r="Y225" s="109">
        <f t="shared" si="47"/>
        <v>85500</v>
      </c>
      <c r="Z225" s="76"/>
    </row>
    <row r="226" spans="1:27" s="29" customFormat="1" ht="21" customHeight="1" x14ac:dyDescent="0.2">
      <c r="A226" s="30"/>
      <c r="B226" s="56" t="s">
        <v>70</v>
      </c>
      <c r="C226" s="39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3</v>
      </c>
      <c r="F226" s="48" t="s">
        <v>69</v>
      </c>
      <c r="G226" s="115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85500</v>
      </c>
      <c r="I226" s="458" t="s">
        <v>65</v>
      </c>
      <c r="J226" s="459"/>
      <c r="K226" s="57">
        <f>K224-K225</f>
        <v>26562.903225806454</v>
      </c>
      <c r="L226" s="58"/>
      <c r="N226" s="71"/>
      <c r="O226" s="72" t="s">
        <v>58</v>
      </c>
      <c r="P226" s="72">
        <v>29</v>
      </c>
      <c r="Q226" s="72">
        <v>1</v>
      </c>
      <c r="R226" s="72">
        <f t="shared" si="44"/>
        <v>3</v>
      </c>
      <c r="S226" s="63"/>
      <c r="T226" s="72" t="s">
        <v>58</v>
      </c>
      <c r="U226" s="109">
        <f>Y225</f>
        <v>85500</v>
      </c>
      <c r="V226" s="74"/>
      <c r="W226" s="109">
        <f t="shared" si="46"/>
        <v>85500</v>
      </c>
      <c r="X226" s="74"/>
      <c r="Y226" s="109">
        <f t="shared" si="47"/>
        <v>85500</v>
      </c>
      <c r="Z226" s="76"/>
    </row>
    <row r="227" spans="1:27" s="29" customFormat="1" ht="21" customHeight="1" x14ac:dyDescent="0.2">
      <c r="A227" s="30"/>
      <c r="J227" s="47"/>
      <c r="K227" s="113"/>
      <c r="L227" s="46"/>
      <c r="N227" s="71"/>
      <c r="O227" s="72" t="s">
        <v>54</v>
      </c>
      <c r="P227" s="72">
        <v>31</v>
      </c>
      <c r="Q227" s="72">
        <v>0</v>
      </c>
      <c r="R227" s="72">
        <f t="shared" si="44"/>
        <v>3</v>
      </c>
      <c r="S227" s="63"/>
      <c r="T227" s="72" t="s">
        <v>54</v>
      </c>
      <c r="U227" s="109">
        <f>Y226</f>
        <v>85500</v>
      </c>
      <c r="V227" s="74">
        <f>50+2000+10000</f>
        <v>12050</v>
      </c>
      <c r="W227" s="109">
        <f t="shared" si="46"/>
        <v>97550</v>
      </c>
      <c r="X227" s="74">
        <f>10000+2050</f>
        <v>12050</v>
      </c>
      <c r="Y227" s="109">
        <f t="shared" si="47"/>
        <v>85500</v>
      </c>
      <c r="Z227" s="76"/>
    </row>
    <row r="228" spans="1:27" s="29" customFormat="1" ht="21" customHeight="1" x14ac:dyDescent="0.2">
      <c r="A228" s="30"/>
      <c r="B228" s="455" t="s">
        <v>94</v>
      </c>
      <c r="C228" s="455"/>
      <c r="D228" s="455"/>
      <c r="E228" s="455"/>
      <c r="F228" s="455"/>
      <c r="G228" s="455"/>
      <c r="H228" s="455"/>
      <c r="I228" s="455"/>
      <c r="J228" s="455"/>
      <c r="K228" s="455"/>
      <c r="L228" s="46"/>
      <c r="N228" s="71"/>
      <c r="O228" s="72" t="s">
        <v>59</v>
      </c>
      <c r="P228" s="72"/>
      <c r="Q228" s="72"/>
      <c r="R228" s="72" t="str">
        <f t="shared" si="44"/>
        <v/>
      </c>
      <c r="S228" s="63"/>
      <c r="T228" s="72" t="s">
        <v>59</v>
      </c>
      <c r="U228" s="109"/>
      <c r="V228" s="74"/>
      <c r="W228" s="109" t="str">
        <f t="shared" si="46"/>
        <v/>
      </c>
      <c r="X228" s="74"/>
      <c r="Y228" s="109" t="str">
        <f t="shared" si="47"/>
        <v/>
      </c>
      <c r="Z228" s="76"/>
    </row>
    <row r="229" spans="1:27" s="29" customFormat="1" ht="21" customHeight="1" x14ac:dyDescent="0.2">
      <c r="A229" s="30"/>
      <c r="B229" s="455"/>
      <c r="C229" s="455"/>
      <c r="D229" s="455"/>
      <c r="E229" s="455"/>
      <c r="F229" s="455"/>
      <c r="G229" s="455"/>
      <c r="H229" s="455"/>
      <c r="I229" s="455"/>
      <c r="J229" s="455"/>
      <c r="K229" s="455"/>
      <c r="L229" s="46"/>
      <c r="N229" s="71"/>
      <c r="O229" s="72" t="s">
        <v>60</v>
      </c>
      <c r="P229" s="72"/>
      <c r="Q229" s="72"/>
      <c r="R229" s="72" t="str">
        <f t="shared" si="44"/>
        <v/>
      </c>
      <c r="S229" s="63"/>
      <c r="T229" s="72" t="s">
        <v>60</v>
      </c>
      <c r="U229" s="109"/>
      <c r="V229" s="74"/>
      <c r="W229" s="109" t="str">
        <f t="shared" si="46"/>
        <v/>
      </c>
      <c r="X229" s="74"/>
      <c r="Y229" s="109" t="str">
        <f t="shared" si="47"/>
        <v/>
      </c>
      <c r="Z229" s="76"/>
    </row>
    <row r="230" spans="1:27" s="29" customFormat="1" ht="21" customHeight="1" thickBot="1" x14ac:dyDescent="0.25">
      <c r="A230" s="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1"/>
      <c r="N230" s="77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9"/>
    </row>
    <row r="231" spans="1:27" s="29" customFormat="1" ht="21" customHeight="1" thickBot="1" x14ac:dyDescent="0.25"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7" s="29" customFormat="1" ht="21" customHeight="1" x14ac:dyDescent="0.2">
      <c r="A232" s="463" t="s">
        <v>42</v>
      </c>
      <c r="B232" s="464"/>
      <c r="C232" s="464"/>
      <c r="D232" s="464"/>
      <c r="E232" s="464"/>
      <c r="F232" s="464"/>
      <c r="G232" s="464"/>
      <c r="H232" s="464"/>
      <c r="I232" s="464"/>
      <c r="J232" s="464"/>
      <c r="K232" s="464"/>
      <c r="L232" s="465"/>
      <c r="M232" s="28"/>
      <c r="N232" s="64"/>
      <c r="O232" s="469" t="s">
        <v>44</v>
      </c>
      <c r="P232" s="470"/>
      <c r="Q232" s="470"/>
      <c r="R232" s="471"/>
      <c r="S232" s="65"/>
      <c r="T232" s="469" t="s">
        <v>45</v>
      </c>
      <c r="U232" s="470"/>
      <c r="V232" s="470"/>
      <c r="W232" s="470"/>
      <c r="X232" s="470"/>
      <c r="Y232" s="471"/>
      <c r="Z232" s="66"/>
      <c r="AA232" s="28"/>
    </row>
    <row r="233" spans="1:27" s="29" customFormat="1" ht="21" customHeight="1" x14ac:dyDescent="0.2">
      <c r="A233" s="30"/>
      <c r="C233" s="466" t="s">
        <v>92</v>
      </c>
      <c r="D233" s="466"/>
      <c r="E233" s="466"/>
      <c r="F233" s="466"/>
      <c r="G233" s="31" t="str">
        <f>$J$1</f>
        <v>October</v>
      </c>
      <c r="H233" s="467">
        <f>$K$1</f>
        <v>2022</v>
      </c>
      <c r="I233" s="467"/>
      <c r="K233" s="32"/>
      <c r="L233" s="33"/>
      <c r="M233" s="32"/>
      <c r="N233" s="67"/>
      <c r="O233" s="68" t="s">
        <v>55</v>
      </c>
      <c r="P233" s="68" t="s">
        <v>7</v>
      </c>
      <c r="Q233" s="68" t="s">
        <v>6</v>
      </c>
      <c r="R233" s="68" t="s">
        <v>56</v>
      </c>
      <c r="S233" s="69"/>
      <c r="T233" s="68" t="s">
        <v>55</v>
      </c>
      <c r="U233" s="68" t="s">
        <v>57</v>
      </c>
      <c r="V233" s="68" t="s">
        <v>22</v>
      </c>
      <c r="W233" s="68" t="s">
        <v>21</v>
      </c>
      <c r="X233" s="68" t="s">
        <v>23</v>
      </c>
      <c r="Y233" s="68" t="s">
        <v>61</v>
      </c>
      <c r="Z233" s="70"/>
      <c r="AA233" s="32"/>
    </row>
    <row r="234" spans="1:27" s="29" customFormat="1" ht="21" customHeight="1" x14ac:dyDescent="0.2">
      <c r="A234" s="30"/>
      <c r="D234" s="35"/>
      <c r="E234" s="35"/>
      <c r="F234" s="35"/>
      <c r="G234" s="35"/>
      <c r="H234" s="35"/>
      <c r="J234" s="36" t="s">
        <v>1</v>
      </c>
      <c r="K234" s="37">
        <v>35000</v>
      </c>
      <c r="L234" s="38"/>
      <c r="N234" s="71"/>
      <c r="O234" s="72" t="s">
        <v>47</v>
      </c>
      <c r="P234" s="72">
        <v>31</v>
      </c>
      <c r="Q234" s="72">
        <v>0</v>
      </c>
      <c r="R234" s="72">
        <f>15-Q234</f>
        <v>15</v>
      </c>
      <c r="S234" s="73"/>
      <c r="T234" s="72" t="s">
        <v>47</v>
      </c>
      <c r="U234" s="74"/>
      <c r="V234" s="74"/>
      <c r="W234" s="74">
        <f>V234+U234</f>
        <v>0</v>
      </c>
      <c r="X234" s="74"/>
      <c r="Y234" s="74">
        <f>W234-X234</f>
        <v>0</v>
      </c>
      <c r="Z234" s="70"/>
    </row>
    <row r="235" spans="1:27" s="29" customFormat="1" ht="21" customHeight="1" x14ac:dyDescent="0.2">
      <c r="A235" s="30"/>
      <c r="B235" s="29" t="s">
        <v>0</v>
      </c>
      <c r="C235" s="40" t="s">
        <v>85</v>
      </c>
      <c r="H235" s="41"/>
      <c r="I235" s="35"/>
      <c r="L235" s="42"/>
      <c r="M235" s="28"/>
      <c r="N235" s="75"/>
      <c r="O235" s="72" t="s">
        <v>73</v>
      </c>
      <c r="P235" s="72">
        <v>28</v>
      </c>
      <c r="Q235" s="72">
        <v>0</v>
      </c>
      <c r="R235" s="72">
        <f t="shared" ref="R235:R245" si="48">IF(Q235="","",R234-Q235)</f>
        <v>15</v>
      </c>
      <c r="S235" s="63"/>
      <c r="T235" s="72" t="s">
        <v>73</v>
      </c>
      <c r="U235" s="109"/>
      <c r="V235" s="74"/>
      <c r="W235" s="109" t="str">
        <f>IF(U235="","",U235+V235)</f>
        <v/>
      </c>
      <c r="X235" s="74"/>
      <c r="Y235" s="109" t="str">
        <f>IF(W235="","",W235-X235)</f>
        <v/>
      </c>
      <c r="Z235" s="76"/>
      <c r="AA235" s="28"/>
    </row>
    <row r="236" spans="1:27" s="29" customFormat="1" ht="21" customHeight="1" x14ac:dyDescent="0.2">
      <c r="A236" s="30"/>
      <c r="B236" s="44" t="s">
        <v>43</v>
      </c>
      <c r="C236" s="45"/>
      <c r="F236" s="468" t="s">
        <v>45</v>
      </c>
      <c r="G236" s="468"/>
      <c r="I236" s="468" t="s">
        <v>46</v>
      </c>
      <c r="J236" s="468"/>
      <c r="K236" s="468"/>
      <c r="L236" s="46"/>
      <c r="N236" s="71"/>
      <c r="O236" s="72" t="s">
        <v>48</v>
      </c>
      <c r="P236" s="72">
        <v>28</v>
      </c>
      <c r="Q236" s="72">
        <v>3</v>
      </c>
      <c r="R236" s="72">
        <f t="shared" si="48"/>
        <v>12</v>
      </c>
      <c r="S236" s="63"/>
      <c r="T236" s="72" t="s">
        <v>48</v>
      </c>
      <c r="U236" s="109"/>
      <c r="V236" s="74"/>
      <c r="W236" s="109" t="str">
        <f t="shared" ref="W236:W245" si="49">IF(U236="","",U236+V236)</f>
        <v/>
      </c>
      <c r="X236" s="74"/>
      <c r="Y236" s="109" t="str">
        <f t="shared" ref="Y236:Y245" si="50">IF(W236="","",W236-X236)</f>
        <v/>
      </c>
      <c r="Z236" s="76"/>
    </row>
    <row r="237" spans="1:27" s="29" customFormat="1" ht="21" customHeight="1" x14ac:dyDescent="0.2">
      <c r="A237" s="30"/>
      <c r="H237" s="47"/>
      <c r="L237" s="34"/>
      <c r="N237" s="71"/>
      <c r="O237" s="72" t="s">
        <v>49</v>
      </c>
      <c r="P237" s="72">
        <v>28</v>
      </c>
      <c r="Q237" s="72">
        <v>2</v>
      </c>
      <c r="R237" s="72">
        <f t="shared" si="48"/>
        <v>10</v>
      </c>
      <c r="S237" s="63"/>
      <c r="T237" s="72" t="s">
        <v>49</v>
      </c>
      <c r="U237" s="109"/>
      <c r="V237" s="74"/>
      <c r="W237" s="109" t="str">
        <f t="shared" si="49"/>
        <v/>
      </c>
      <c r="X237" s="74"/>
      <c r="Y237" s="109" t="str">
        <f t="shared" si="50"/>
        <v/>
      </c>
      <c r="Z237" s="76"/>
    </row>
    <row r="238" spans="1:27" s="29" customFormat="1" ht="21" customHeight="1" x14ac:dyDescent="0.2">
      <c r="A238" s="30"/>
      <c r="B238" s="472" t="s">
        <v>44</v>
      </c>
      <c r="C238" s="473"/>
      <c r="F238" s="48" t="s">
        <v>66</v>
      </c>
      <c r="G238" s="4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7"/>
      <c r="I238" s="49">
        <f>IF(C242&gt;0,$K$2,C240)</f>
        <v>31</v>
      </c>
      <c r="J238" s="50" t="s">
        <v>63</v>
      </c>
      <c r="K238" s="51">
        <f>K234/$K$2*I238</f>
        <v>35000</v>
      </c>
      <c r="L238" s="52"/>
      <c r="N238" s="71"/>
      <c r="O238" s="72" t="s">
        <v>50</v>
      </c>
      <c r="P238" s="72">
        <v>29</v>
      </c>
      <c r="Q238" s="72">
        <v>2</v>
      </c>
      <c r="R238" s="72">
        <f t="shared" si="48"/>
        <v>8</v>
      </c>
      <c r="S238" s="63"/>
      <c r="T238" s="72" t="s">
        <v>50</v>
      </c>
      <c r="U238" s="109"/>
      <c r="V238" s="74"/>
      <c r="W238" s="109" t="str">
        <f t="shared" si="49"/>
        <v/>
      </c>
      <c r="X238" s="74"/>
      <c r="Y238" s="109" t="str">
        <f t="shared" si="50"/>
        <v/>
      </c>
      <c r="Z238" s="76"/>
    </row>
    <row r="239" spans="1:27" s="29" customFormat="1" ht="21" customHeight="1" x14ac:dyDescent="0.2">
      <c r="A239" s="30"/>
      <c r="B239" s="39"/>
      <c r="C239" s="39"/>
      <c r="F239" s="48" t="s">
        <v>22</v>
      </c>
      <c r="G239" s="4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7"/>
      <c r="I239" s="107"/>
      <c r="J239" s="50" t="s">
        <v>64</v>
      </c>
      <c r="K239" s="53">
        <f>K234/$K$2/8*I239</f>
        <v>0</v>
      </c>
      <c r="L239" s="54"/>
      <c r="N239" s="71"/>
      <c r="O239" s="72" t="s">
        <v>51</v>
      </c>
      <c r="P239" s="72">
        <v>28</v>
      </c>
      <c r="Q239" s="72">
        <v>2</v>
      </c>
      <c r="R239" s="72">
        <f t="shared" si="48"/>
        <v>6</v>
      </c>
      <c r="S239" s="63"/>
      <c r="T239" s="72" t="s">
        <v>51</v>
      </c>
      <c r="U239" s="109"/>
      <c r="V239" s="74"/>
      <c r="W239" s="109" t="str">
        <f t="shared" si="49"/>
        <v/>
      </c>
      <c r="X239" s="74"/>
      <c r="Y239" s="109" t="str">
        <f t="shared" si="50"/>
        <v/>
      </c>
      <c r="Z239" s="76"/>
    </row>
    <row r="240" spans="1:27" s="29" customFormat="1" ht="21" customHeight="1" x14ac:dyDescent="0.2">
      <c r="A240" s="30"/>
      <c r="B240" s="48" t="s">
        <v>7</v>
      </c>
      <c r="C240" s="39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F240" s="48" t="s">
        <v>67</v>
      </c>
      <c r="G240" s="43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7"/>
      <c r="I240" s="456" t="s">
        <v>71</v>
      </c>
      <c r="J240" s="457"/>
      <c r="K240" s="53">
        <f>K238+K239</f>
        <v>35000</v>
      </c>
      <c r="L240" s="54"/>
      <c r="N240" s="71"/>
      <c r="O240" s="72" t="s">
        <v>52</v>
      </c>
      <c r="P240" s="72">
        <v>30</v>
      </c>
      <c r="Q240" s="72">
        <v>1</v>
      </c>
      <c r="R240" s="72">
        <f t="shared" si="48"/>
        <v>5</v>
      </c>
      <c r="S240" s="63"/>
      <c r="T240" s="72" t="s">
        <v>52</v>
      </c>
      <c r="U240" s="109"/>
      <c r="V240" s="74"/>
      <c r="W240" s="109" t="str">
        <f t="shared" si="49"/>
        <v/>
      </c>
      <c r="X240" s="74"/>
      <c r="Y240" s="109" t="str">
        <f t="shared" si="50"/>
        <v/>
      </c>
      <c r="Z240" s="76"/>
    </row>
    <row r="241" spans="1:27" s="29" customFormat="1" ht="21" customHeight="1" x14ac:dyDescent="0.2">
      <c r="A241" s="30"/>
      <c r="B241" s="48" t="s">
        <v>6</v>
      </c>
      <c r="C241" s="39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F241" s="48" t="s">
        <v>23</v>
      </c>
      <c r="G241" s="4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7"/>
      <c r="I241" s="456" t="s">
        <v>72</v>
      </c>
      <c r="J241" s="457"/>
      <c r="K241" s="43">
        <f>G241</f>
        <v>0</v>
      </c>
      <c r="L241" s="55"/>
      <c r="N241" s="71"/>
      <c r="O241" s="72" t="s">
        <v>53</v>
      </c>
      <c r="P241" s="72">
        <v>28</v>
      </c>
      <c r="Q241" s="72">
        <v>3</v>
      </c>
      <c r="R241" s="72">
        <f t="shared" si="48"/>
        <v>2</v>
      </c>
      <c r="S241" s="63"/>
      <c r="T241" s="72" t="s">
        <v>53</v>
      </c>
      <c r="U241" s="109"/>
      <c r="V241" s="74"/>
      <c r="W241" s="109" t="str">
        <f t="shared" si="49"/>
        <v/>
      </c>
      <c r="X241" s="74"/>
      <c r="Y241" s="109" t="str">
        <f t="shared" si="50"/>
        <v/>
      </c>
      <c r="Z241" s="76"/>
    </row>
    <row r="242" spans="1:27" s="29" customFormat="1" ht="21" customHeight="1" x14ac:dyDescent="0.2">
      <c r="A242" s="30"/>
      <c r="B242" s="56" t="s">
        <v>70</v>
      </c>
      <c r="C242" s="39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</v>
      </c>
      <c r="F242" s="48" t="s">
        <v>69</v>
      </c>
      <c r="G242" s="43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I242" s="458" t="s">
        <v>65</v>
      </c>
      <c r="J242" s="459"/>
      <c r="K242" s="57">
        <f>K240-K241</f>
        <v>35000</v>
      </c>
      <c r="L242" s="58"/>
      <c r="N242" s="71"/>
      <c r="O242" s="72" t="s">
        <v>58</v>
      </c>
      <c r="P242" s="72">
        <v>29</v>
      </c>
      <c r="Q242" s="72">
        <v>1</v>
      </c>
      <c r="R242" s="72">
        <f t="shared" si="48"/>
        <v>1</v>
      </c>
      <c r="S242" s="63"/>
      <c r="T242" s="72" t="s">
        <v>58</v>
      </c>
      <c r="U242" s="109"/>
      <c r="V242" s="74"/>
      <c r="W242" s="109" t="str">
        <f t="shared" si="49"/>
        <v/>
      </c>
      <c r="X242" s="74"/>
      <c r="Y242" s="109" t="str">
        <f t="shared" si="50"/>
        <v/>
      </c>
      <c r="Z242" s="76"/>
    </row>
    <row r="243" spans="1:27" s="29" customFormat="1" ht="21" customHeight="1" x14ac:dyDescent="0.2">
      <c r="A243" s="30"/>
      <c r="K243" s="113"/>
      <c r="L243" s="46"/>
      <c r="N243" s="71"/>
      <c r="O243" s="72" t="s">
        <v>54</v>
      </c>
      <c r="P243" s="72">
        <v>31</v>
      </c>
      <c r="Q243" s="72">
        <v>0</v>
      </c>
      <c r="R243" s="72">
        <f t="shared" si="48"/>
        <v>1</v>
      </c>
      <c r="S243" s="63"/>
      <c r="T243" s="72" t="s">
        <v>54</v>
      </c>
      <c r="U243" s="109"/>
      <c r="V243" s="74"/>
      <c r="W243" s="109" t="str">
        <f t="shared" si="49"/>
        <v/>
      </c>
      <c r="X243" s="74"/>
      <c r="Y243" s="109" t="str">
        <f t="shared" si="50"/>
        <v/>
      </c>
      <c r="Z243" s="76"/>
    </row>
    <row r="244" spans="1:27" s="29" customFormat="1" ht="21" customHeight="1" x14ac:dyDescent="0.2">
      <c r="A244" s="30"/>
      <c r="B244" s="455" t="s">
        <v>94</v>
      </c>
      <c r="C244" s="455"/>
      <c r="D244" s="455"/>
      <c r="E244" s="455"/>
      <c r="F244" s="455"/>
      <c r="G244" s="455"/>
      <c r="H244" s="455"/>
      <c r="I244" s="455"/>
      <c r="J244" s="455"/>
      <c r="K244" s="455"/>
      <c r="L244" s="46"/>
      <c r="N244" s="71"/>
      <c r="O244" s="72" t="s">
        <v>59</v>
      </c>
      <c r="P244" s="72"/>
      <c r="Q244" s="72"/>
      <c r="R244" s="72" t="str">
        <f t="shared" si="48"/>
        <v/>
      </c>
      <c r="S244" s="63"/>
      <c r="T244" s="72" t="s">
        <v>59</v>
      </c>
      <c r="U244" s="109" t="str">
        <f>Y243</f>
        <v/>
      </c>
      <c r="V244" s="74"/>
      <c r="W244" s="109" t="str">
        <f t="shared" si="49"/>
        <v/>
      </c>
      <c r="X244" s="74"/>
      <c r="Y244" s="109" t="str">
        <f t="shared" si="50"/>
        <v/>
      </c>
      <c r="Z244" s="76"/>
    </row>
    <row r="245" spans="1:27" s="29" customFormat="1" ht="21" customHeight="1" x14ac:dyDescent="0.2">
      <c r="A245" s="30"/>
      <c r="B245" s="455"/>
      <c r="C245" s="455"/>
      <c r="D245" s="455"/>
      <c r="E245" s="455"/>
      <c r="F245" s="455"/>
      <c r="G245" s="455"/>
      <c r="H245" s="455"/>
      <c r="I245" s="455"/>
      <c r="J245" s="455"/>
      <c r="K245" s="455"/>
      <c r="L245" s="46"/>
      <c r="N245" s="71"/>
      <c r="O245" s="72" t="s">
        <v>60</v>
      </c>
      <c r="P245" s="72"/>
      <c r="Q245" s="72"/>
      <c r="R245" s="72" t="str">
        <f t="shared" si="48"/>
        <v/>
      </c>
      <c r="S245" s="63"/>
      <c r="T245" s="72" t="s">
        <v>60</v>
      </c>
      <c r="U245" s="109"/>
      <c r="V245" s="74"/>
      <c r="W245" s="109" t="str">
        <f t="shared" si="49"/>
        <v/>
      </c>
      <c r="X245" s="74"/>
      <c r="Y245" s="109" t="str">
        <f t="shared" si="50"/>
        <v/>
      </c>
      <c r="Z245" s="76"/>
    </row>
    <row r="246" spans="1:27" s="29" customFormat="1" ht="21" customHeight="1" thickBot="1" x14ac:dyDescent="0.25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1"/>
      <c r="N246" s="77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9"/>
    </row>
    <row r="247" spans="1:27" ht="15.75" hidden="1" thickBot="1" x14ac:dyDescent="0.3"/>
    <row r="248" spans="1:27" s="29" customFormat="1" ht="21.4" hidden="1" customHeight="1" x14ac:dyDescent="0.2">
      <c r="A248" s="463" t="s">
        <v>42</v>
      </c>
      <c r="B248" s="464"/>
      <c r="C248" s="464"/>
      <c r="D248" s="464"/>
      <c r="E248" s="464"/>
      <c r="F248" s="464"/>
      <c r="G248" s="464"/>
      <c r="H248" s="464"/>
      <c r="I248" s="464"/>
      <c r="J248" s="464"/>
      <c r="K248" s="464"/>
      <c r="L248" s="465"/>
      <c r="M248" s="28"/>
      <c r="N248" s="64"/>
      <c r="O248" s="469" t="s">
        <v>44</v>
      </c>
      <c r="P248" s="470"/>
      <c r="Q248" s="470"/>
      <c r="R248" s="471"/>
      <c r="S248" s="65"/>
      <c r="T248" s="469" t="s">
        <v>45</v>
      </c>
      <c r="U248" s="470"/>
      <c r="V248" s="470"/>
      <c r="W248" s="470"/>
      <c r="X248" s="470"/>
      <c r="Y248" s="471"/>
      <c r="Z248" s="66"/>
      <c r="AA248" s="28"/>
    </row>
    <row r="249" spans="1:27" s="29" customFormat="1" ht="21.4" hidden="1" customHeight="1" x14ac:dyDescent="0.2">
      <c r="A249" s="30"/>
      <c r="C249" s="466" t="s">
        <v>92</v>
      </c>
      <c r="D249" s="466"/>
      <c r="E249" s="466"/>
      <c r="F249" s="466"/>
      <c r="G249" s="31" t="str">
        <f>$J$1</f>
        <v>October</v>
      </c>
      <c r="H249" s="467">
        <f>$K$1</f>
        <v>2022</v>
      </c>
      <c r="I249" s="467"/>
      <c r="K249" s="32"/>
      <c r="L249" s="33"/>
      <c r="M249" s="32"/>
      <c r="N249" s="67"/>
      <c r="O249" s="68" t="s">
        <v>55</v>
      </c>
      <c r="P249" s="68" t="s">
        <v>7</v>
      </c>
      <c r="Q249" s="68" t="s">
        <v>6</v>
      </c>
      <c r="R249" s="68" t="s">
        <v>56</v>
      </c>
      <c r="S249" s="69"/>
      <c r="T249" s="68" t="s">
        <v>55</v>
      </c>
      <c r="U249" s="68" t="s">
        <v>57</v>
      </c>
      <c r="V249" s="68" t="s">
        <v>22</v>
      </c>
      <c r="W249" s="68" t="s">
        <v>21</v>
      </c>
      <c r="X249" s="68" t="s">
        <v>23</v>
      </c>
      <c r="Y249" s="68" t="s">
        <v>61</v>
      </c>
      <c r="Z249" s="70"/>
      <c r="AA249" s="32"/>
    </row>
    <row r="250" spans="1:27" s="29" customFormat="1" ht="21.4" hidden="1" customHeight="1" x14ac:dyDescent="0.2">
      <c r="A250" s="30"/>
      <c r="D250" s="35"/>
      <c r="E250" s="35"/>
      <c r="F250" s="35"/>
      <c r="G250" s="35"/>
      <c r="H250" s="35"/>
      <c r="J250" s="36" t="s">
        <v>1</v>
      </c>
      <c r="K250" s="37">
        <v>22000</v>
      </c>
      <c r="L250" s="38"/>
      <c r="N250" s="71"/>
      <c r="O250" s="72" t="s">
        <v>47</v>
      </c>
      <c r="P250" s="72"/>
      <c r="Q250" s="72"/>
      <c r="R250" s="72"/>
      <c r="S250" s="73"/>
      <c r="T250" s="72" t="s">
        <v>47</v>
      </c>
      <c r="U250" s="74"/>
      <c r="V250" s="74"/>
      <c r="W250" s="74">
        <f>V250+U250</f>
        <v>0</v>
      </c>
      <c r="X250" s="74"/>
      <c r="Y250" s="74">
        <f>W250-X250</f>
        <v>0</v>
      </c>
      <c r="Z250" s="70"/>
    </row>
    <row r="251" spans="1:27" s="29" customFormat="1" ht="21.4" hidden="1" customHeight="1" x14ac:dyDescent="0.2">
      <c r="A251" s="30"/>
      <c r="B251" s="29" t="s">
        <v>0</v>
      </c>
      <c r="C251" s="40" t="s">
        <v>121</v>
      </c>
      <c r="H251" s="41"/>
      <c r="I251" s="35"/>
      <c r="L251" s="42"/>
      <c r="M251" s="28"/>
      <c r="N251" s="75"/>
      <c r="O251" s="72" t="s">
        <v>73</v>
      </c>
      <c r="P251" s="72"/>
      <c r="Q251" s="72"/>
      <c r="R251" s="72"/>
      <c r="S251" s="63"/>
      <c r="T251" s="72" t="s">
        <v>73</v>
      </c>
      <c r="U251" s="109">
        <f>IF($J$1="January","",Y250)</f>
        <v>0</v>
      </c>
      <c r="V251" s="74"/>
      <c r="W251" s="109">
        <f>IF(U251="","",U251+V251)</f>
        <v>0</v>
      </c>
      <c r="X251" s="74"/>
      <c r="Y251" s="109">
        <f>IF(W251="","",W251-X251)</f>
        <v>0</v>
      </c>
      <c r="Z251" s="76"/>
      <c r="AA251" s="28"/>
    </row>
    <row r="252" spans="1:27" s="29" customFormat="1" ht="21.4" hidden="1" customHeight="1" x14ac:dyDescent="0.2">
      <c r="A252" s="30"/>
      <c r="B252" s="44" t="s">
        <v>43</v>
      </c>
      <c r="C252" s="45"/>
      <c r="F252" s="468" t="s">
        <v>45</v>
      </c>
      <c r="G252" s="468"/>
      <c r="I252" s="468" t="s">
        <v>46</v>
      </c>
      <c r="J252" s="468"/>
      <c r="K252" s="468"/>
      <c r="L252" s="46"/>
      <c r="N252" s="71"/>
      <c r="O252" s="72" t="s">
        <v>48</v>
      </c>
      <c r="P252" s="72"/>
      <c r="Q252" s="72"/>
      <c r="R252" s="72">
        <v>0</v>
      </c>
      <c r="S252" s="63"/>
      <c r="T252" s="72" t="s">
        <v>48</v>
      </c>
      <c r="U252" s="109">
        <f>IF($J$1="February","",Y251)</f>
        <v>0</v>
      </c>
      <c r="V252" s="74"/>
      <c r="W252" s="109">
        <f t="shared" ref="W252:W261" si="51">IF(U252="","",U252+V252)</f>
        <v>0</v>
      </c>
      <c r="X252" s="74"/>
      <c r="Y252" s="109">
        <f t="shared" ref="Y252:Y261" si="52">IF(W252="","",W252-X252)</f>
        <v>0</v>
      </c>
      <c r="Z252" s="76"/>
    </row>
    <row r="253" spans="1:27" s="29" customFormat="1" ht="21.4" hidden="1" customHeight="1" x14ac:dyDescent="0.2">
      <c r="A253" s="30"/>
      <c r="H253" s="47"/>
      <c r="L253" s="34"/>
      <c r="N253" s="71"/>
      <c r="O253" s="72" t="s">
        <v>49</v>
      </c>
      <c r="P253" s="72"/>
      <c r="Q253" s="72"/>
      <c r="R253" s="72">
        <f>R252-Q253</f>
        <v>0</v>
      </c>
      <c r="S253" s="63"/>
      <c r="T253" s="72" t="s">
        <v>49</v>
      </c>
      <c r="U253" s="109">
        <f>IF($J$1="March","",Y252)</f>
        <v>0</v>
      </c>
      <c r="V253" s="74"/>
      <c r="W253" s="109">
        <f t="shared" si="51"/>
        <v>0</v>
      </c>
      <c r="X253" s="74"/>
      <c r="Y253" s="109">
        <f t="shared" si="52"/>
        <v>0</v>
      </c>
      <c r="Z253" s="76"/>
    </row>
    <row r="254" spans="1:27" s="29" customFormat="1" ht="21.4" hidden="1" customHeight="1" x14ac:dyDescent="0.2">
      <c r="A254" s="30"/>
      <c r="B254" s="472" t="s">
        <v>44</v>
      </c>
      <c r="C254" s="473"/>
      <c r="F254" s="48" t="s">
        <v>66</v>
      </c>
      <c r="G254" s="43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7"/>
      <c r="I254" s="49">
        <f>IF(C258&gt;0,$K$2,C256)</f>
        <v>0</v>
      </c>
      <c r="J254" s="50" t="s">
        <v>63</v>
      </c>
      <c r="K254" s="51">
        <f>K250/$K$2*I254</f>
        <v>0</v>
      </c>
      <c r="L254" s="52"/>
      <c r="N254" s="71"/>
      <c r="O254" s="72" t="s">
        <v>50</v>
      </c>
      <c r="P254" s="72"/>
      <c r="Q254" s="72"/>
      <c r="R254" s="72">
        <v>0</v>
      </c>
      <c r="S254" s="63"/>
      <c r="T254" s="72" t="s">
        <v>50</v>
      </c>
      <c r="U254" s="109">
        <f>IF($J$1="April","",Y253)</f>
        <v>0</v>
      </c>
      <c r="V254" s="74"/>
      <c r="W254" s="109">
        <f t="shared" si="51"/>
        <v>0</v>
      </c>
      <c r="X254" s="74"/>
      <c r="Y254" s="109">
        <f t="shared" si="52"/>
        <v>0</v>
      </c>
      <c r="Z254" s="76"/>
    </row>
    <row r="255" spans="1:27" s="29" customFormat="1" ht="21.4" hidden="1" customHeight="1" x14ac:dyDescent="0.2">
      <c r="A255" s="30"/>
      <c r="B255" s="39"/>
      <c r="C255" s="39"/>
      <c r="F255" s="48" t="s">
        <v>22</v>
      </c>
      <c r="G255" s="43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7"/>
      <c r="I255" s="84"/>
      <c r="J255" s="50" t="s">
        <v>64</v>
      </c>
      <c r="K255" s="53">
        <f>K250/$K$2/8*I255</f>
        <v>0</v>
      </c>
      <c r="L255" s="54"/>
      <c r="N255" s="71"/>
      <c r="O255" s="72" t="s">
        <v>51</v>
      </c>
      <c r="P255" s="72"/>
      <c r="Q255" s="72"/>
      <c r="R255" s="72">
        <v>0</v>
      </c>
      <c r="S255" s="63"/>
      <c r="T255" s="72" t="s">
        <v>51</v>
      </c>
      <c r="U255" s="109">
        <f>IF($J$1="May","",Y254)</f>
        <v>0</v>
      </c>
      <c r="V255" s="74"/>
      <c r="W255" s="109">
        <f t="shared" si="51"/>
        <v>0</v>
      </c>
      <c r="X255" s="74"/>
      <c r="Y255" s="109">
        <f t="shared" si="52"/>
        <v>0</v>
      </c>
      <c r="Z255" s="76"/>
    </row>
    <row r="256" spans="1:27" s="29" customFormat="1" ht="21.4" hidden="1" customHeight="1" x14ac:dyDescent="0.2">
      <c r="A256" s="30"/>
      <c r="B256" s="48" t="s">
        <v>7</v>
      </c>
      <c r="C256" s="39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F256" s="48" t="s">
        <v>67</v>
      </c>
      <c r="G256" s="43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7"/>
      <c r="I256" s="456" t="s">
        <v>71</v>
      </c>
      <c r="J256" s="457"/>
      <c r="K256" s="53">
        <f>K254+K255</f>
        <v>0</v>
      </c>
      <c r="L256" s="54"/>
      <c r="N256" s="71"/>
      <c r="O256" s="72" t="s">
        <v>52</v>
      </c>
      <c r="P256" s="72"/>
      <c r="Q256" s="72"/>
      <c r="R256" s="72">
        <v>0</v>
      </c>
      <c r="S256" s="63"/>
      <c r="T256" s="72" t="s">
        <v>52</v>
      </c>
      <c r="U256" s="109">
        <f>IF($J$1="June","",Y255)</f>
        <v>0</v>
      </c>
      <c r="V256" s="74"/>
      <c r="W256" s="109">
        <f t="shared" si="51"/>
        <v>0</v>
      </c>
      <c r="X256" s="74"/>
      <c r="Y256" s="109">
        <f t="shared" si="52"/>
        <v>0</v>
      </c>
      <c r="Z256" s="76"/>
    </row>
    <row r="257" spans="1:27" s="29" customFormat="1" ht="21.4" hidden="1" customHeight="1" x14ac:dyDescent="0.2">
      <c r="A257" s="30"/>
      <c r="B257" s="48" t="s">
        <v>6</v>
      </c>
      <c r="C257" s="39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F257" s="48" t="s">
        <v>23</v>
      </c>
      <c r="G257" s="43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7"/>
      <c r="I257" s="456" t="s">
        <v>72</v>
      </c>
      <c r="J257" s="457"/>
      <c r="K257" s="43">
        <f>G257</f>
        <v>0</v>
      </c>
      <c r="L257" s="55"/>
      <c r="N257" s="71"/>
      <c r="O257" s="72" t="s">
        <v>53</v>
      </c>
      <c r="P257" s="72"/>
      <c r="Q257" s="72"/>
      <c r="R257" s="72">
        <v>0</v>
      </c>
      <c r="S257" s="63"/>
      <c r="T257" s="72" t="s">
        <v>53</v>
      </c>
      <c r="U257" s="109">
        <f>IF($J$1="July","",Y256)</f>
        <v>0</v>
      </c>
      <c r="V257" s="74"/>
      <c r="W257" s="109">
        <f t="shared" si="51"/>
        <v>0</v>
      </c>
      <c r="X257" s="74"/>
      <c r="Y257" s="109">
        <f t="shared" si="52"/>
        <v>0</v>
      </c>
      <c r="Z257" s="76"/>
    </row>
    <row r="258" spans="1:27" s="29" customFormat="1" ht="21.4" hidden="1" customHeight="1" x14ac:dyDescent="0.2">
      <c r="A258" s="30"/>
      <c r="B258" s="56" t="s">
        <v>70</v>
      </c>
      <c r="C258" s="39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F258" s="48" t="s">
        <v>69</v>
      </c>
      <c r="G258" s="43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I258" s="458" t="s">
        <v>65</v>
      </c>
      <c r="J258" s="459"/>
      <c r="K258" s="57">
        <f>K256-K257</f>
        <v>0</v>
      </c>
      <c r="L258" s="58"/>
      <c r="N258" s="71"/>
      <c r="O258" s="72" t="s">
        <v>58</v>
      </c>
      <c r="P258" s="72"/>
      <c r="Q258" s="72"/>
      <c r="R258" s="72">
        <v>0</v>
      </c>
      <c r="S258" s="63"/>
      <c r="T258" s="72" t="s">
        <v>58</v>
      </c>
      <c r="U258" s="109">
        <f>IF($J$1="August","",Y257)</f>
        <v>0</v>
      </c>
      <c r="V258" s="74"/>
      <c r="W258" s="109">
        <f t="shared" si="51"/>
        <v>0</v>
      </c>
      <c r="X258" s="74"/>
      <c r="Y258" s="109">
        <f t="shared" si="52"/>
        <v>0</v>
      </c>
      <c r="Z258" s="76"/>
    </row>
    <row r="259" spans="1:27" s="29" customFormat="1" ht="21.4" hidden="1" customHeight="1" x14ac:dyDescent="0.2">
      <c r="A259" s="30"/>
      <c r="K259" s="113"/>
      <c r="L259" s="46"/>
      <c r="N259" s="71"/>
      <c r="O259" s="72" t="s">
        <v>54</v>
      </c>
      <c r="P259" s="72"/>
      <c r="Q259" s="72"/>
      <c r="R259" s="72">
        <v>0</v>
      </c>
      <c r="S259" s="63"/>
      <c r="T259" s="72" t="s">
        <v>54</v>
      </c>
      <c r="U259" s="109">
        <f>IF($J$1="September","",Y258)</f>
        <v>0</v>
      </c>
      <c r="V259" s="74"/>
      <c r="W259" s="109">
        <f t="shared" si="51"/>
        <v>0</v>
      </c>
      <c r="X259" s="74"/>
      <c r="Y259" s="109">
        <f t="shared" si="52"/>
        <v>0</v>
      </c>
      <c r="Z259" s="76"/>
    </row>
    <row r="260" spans="1:27" s="29" customFormat="1" ht="21.4" hidden="1" customHeight="1" x14ac:dyDescent="0.2">
      <c r="A260" s="30"/>
      <c r="B260" s="455" t="s">
        <v>94</v>
      </c>
      <c r="C260" s="455"/>
      <c r="D260" s="455"/>
      <c r="E260" s="455"/>
      <c r="F260" s="455"/>
      <c r="G260" s="455"/>
      <c r="H260" s="455"/>
      <c r="I260" s="455"/>
      <c r="J260" s="455"/>
      <c r="K260" s="455"/>
      <c r="L260" s="46"/>
      <c r="N260" s="71"/>
      <c r="O260" s="72" t="s">
        <v>59</v>
      </c>
      <c r="P260" s="72"/>
      <c r="Q260" s="72"/>
      <c r="R260" s="72">
        <v>0</v>
      </c>
      <c r="S260" s="63"/>
      <c r="T260" s="72" t="s">
        <v>59</v>
      </c>
      <c r="U260" s="109" t="str">
        <f>IF($J$1="October","",Y259)</f>
        <v/>
      </c>
      <c r="V260" s="74"/>
      <c r="W260" s="109" t="str">
        <f t="shared" si="51"/>
        <v/>
      </c>
      <c r="X260" s="74"/>
      <c r="Y260" s="109" t="str">
        <f t="shared" si="52"/>
        <v/>
      </c>
      <c r="Z260" s="76"/>
    </row>
    <row r="261" spans="1:27" s="29" customFormat="1" ht="21.4" hidden="1" customHeight="1" x14ac:dyDescent="0.2">
      <c r="A261" s="30"/>
      <c r="B261" s="455"/>
      <c r="C261" s="455"/>
      <c r="D261" s="455"/>
      <c r="E261" s="455"/>
      <c r="F261" s="455"/>
      <c r="G261" s="455"/>
      <c r="H261" s="455"/>
      <c r="I261" s="455"/>
      <c r="J261" s="455"/>
      <c r="K261" s="455"/>
      <c r="L261" s="46"/>
      <c r="N261" s="71"/>
      <c r="O261" s="72" t="s">
        <v>60</v>
      </c>
      <c r="P261" s="72"/>
      <c r="Q261" s="72"/>
      <c r="R261" s="72">
        <v>0</v>
      </c>
      <c r="S261" s="63"/>
      <c r="T261" s="72" t="s">
        <v>60</v>
      </c>
      <c r="U261" s="109" t="str">
        <f>IF($J$1="November","",Y260)</f>
        <v/>
      </c>
      <c r="V261" s="74"/>
      <c r="W261" s="109" t="str">
        <f t="shared" si="51"/>
        <v/>
      </c>
      <c r="X261" s="74"/>
      <c r="Y261" s="109" t="str">
        <f t="shared" si="52"/>
        <v/>
      </c>
      <c r="Z261" s="76"/>
    </row>
    <row r="262" spans="1:27" s="29" customFormat="1" ht="21.4" hidden="1" customHeight="1" thickBot="1" x14ac:dyDescent="0.25">
      <c r="A262" s="5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1"/>
      <c r="N262" s="77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9"/>
    </row>
    <row r="263" spans="1:27" s="29" customFormat="1" ht="21" customHeight="1" thickBot="1" x14ac:dyDescent="0.25"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7" s="29" customFormat="1" ht="21" customHeight="1" x14ac:dyDescent="0.2">
      <c r="A264" s="463" t="s">
        <v>42</v>
      </c>
      <c r="B264" s="464"/>
      <c r="C264" s="464"/>
      <c r="D264" s="464"/>
      <c r="E264" s="464"/>
      <c r="F264" s="464"/>
      <c r="G264" s="464"/>
      <c r="H264" s="464"/>
      <c r="I264" s="464"/>
      <c r="J264" s="464"/>
      <c r="K264" s="464"/>
      <c r="L264" s="465"/>
      <c r="M264" s="28"/>
      <c r="N264" s="64"/>
      <c r="O264" s="469" t="s">
        <v>44</v>
      </c>
      <c r="P264" s="470"/>
      <c r="Q264" s="470"/>
      <c r="R264" s="471"/>
      <c r="S264" s="65"/>
      <c r="T264" s="469" t="s">
        <v>45</v>
      </c>
      <c r="U264" s="470"/>
      <c r="V264" s="470"/>
      <c r="W264" s="470"/>
      <c r="X264" s="470"/>
      <c r="Y264" s="471"/>
      <c r="Z264" s="66"/>
      <c r="AA264" s="28"/>
    </row>
    <row r="265" spans="1:27" s="29" customFormat="1" ht="21" customHeight="1" x14ac:dyDescent="0.2">
      <c r="A265" s="30"/>
      <c r="C265" s="466" t="s">
        <v>92</v>
      </c>
      <c r="D265" s="466"/>
      <c r="E265" s="466"/>
      <c r="F265" s="466"/>
      <c r="G265" s="31" t="str">
        <f>$J$1</f>
        <v>October</v>
      </c>
      <c r="H265" s="467">
        <f>$K$1</f>
        <v>2022</v>
      </c>
      <c r="I265" s="467"/>
      <c r="K265" s="32"/>
      <c r="L265" s="33"/>
      <c r="M265" s="32"/>
      <c r="N265" s="67"/>
      <c r="O265" s="68" t="s">
        <v>55</v>
      </c>
      <c r="P265" s="68" t="s">
        <v>7</v>
      </c>
      <c r="Q265" s="68" t="s">
        <v>6</v>
      </c>
      <c r="R265" s="68" t="s">
        <v>56</v>
      </c>
      <c r="S265" s="69"/>
      <c r="T265" s="68" t="s">
        <v>55</v>
      </c>
      <c r="U265" s="68" t="s">
        <v>57</v>
      </c>
      <c r="V265" s="68" t="s">
        <v>22</v>
      </c>
      <c r="W265" s="68" t="s">
        <v>21</v>
      </c>
      <c r="X265" s="68" t="s">
        <v>23</v>
      </c>
      <c r="Y265" s="68" t="s">
        <v>61</v>
      </c>
      <c r="Z265" s="70"/>
      <c r="AA265" s="32"/>
    </row>
    <row r="266" spans="1:27" s="29" customFormat="1" ht="21" customHeight="1" x14ac:dyDescent="0.2">
      <c r="A266" s="30"/>
      <c r="D266" s="35"/>
      <c r="E266" s="35"/>
      <c r="F266" s="35"/>
      <c r="G266" s="35"/>
      <c r="H266" s="35"/>
      <c r="J266" s="36" t="s">
        <v>1</v>
      </c>
      <c r="K266" s="37">
        <v>30000</v>
      </c>
      <c r="L266" s="38"/>
      <c r="N266" s="71"/>
      <c r="O266" s="72" t="s">
        <v>47</v>
      </c>
      <c r="P266" s="72">
        <v>29</v>
      </c>
      <c r="Q266" s="72">
        <v>2</v>
      </c>
      <c r="R266" s="72">
        <f>15-Q266+8</f>
        <v>21</v>
      </c>
      <c r="S266" s="73"/>
      <c r="T266" s="72" t="s">
        <v>47</v>
      </c>
      <c r="U266" s="74">
        <v>36500</v>
      </c>
      <c r="V266" s="74"/>
      <c r="W266" s="74">
        <f>V266+U266</f>
        <v>36500</v>
      </c>
      <c r="X266" s="74">
        <v>5000</v>
      </c>
      <c r="Y266" s="74">
        <f>W266-X266</f>
        <v>31500</v>
      </c>
      <c r="Z266" s="70"/>
    </row>
    <row r="267" spans="1:27" s="29" customFormat="1" ht="21" customHeight="1" x14ac:dyDescent="0.2">
      <c r="A267" s="30"/>
      <c r="B267" s="29" t="s">
        <v>0</v>
      </c>
      <c r="C267" s="40" t="s">
        <v>25</v>
      </c>
      <c r="H267" s="41"/>
      <c r="I267" s="35"/>
      <c r="L267" s="42"/>
      <c r="M267" s="28"/>
      <c r="N267" s="75"/>
      <c r="O267" s="72" t="s">
        <v>73</v>
      </c>
      <c r="P267" s="72">
        <v>27</v>
      </c>
      <c r="Q267" s="72">
        <v>1</v>
      </c>
      <c r="R267" s="72">
        <f t="shared" ref="R267:R277" si="53">IF(Q267="","",R266-Q267)</f>
        <v>20</v>
      </c>
      <c r="S267" s="63"/>
      <c r="T267" s="72" t="s">
        <v>73</v>
      </c>
      <c r="U267" s="109">
        <f t="shared" ref="U267:U272" si="54">Y266</f>
        <v>31500</v>
      </c>
      <c r="V267" s="74"/>
      <c r="W267" s="109">
        <f>IF(U267="","",U267+V267)</f>
        <v>31500</v>
      </c>
      <c r="X267" s="74"/>
      <c r="Y267" s="109">
        <f>IF(W267="","",W267-X267)</f>
        <v>31500</v>
      </c>
      <c r="Z267" s="76"/>
      <c r="AA267" s="28"/>
    </row>
    <row r="268" spans="1:27" s="29" customFormat="1" ht="21" customHeight="1" x14ac:dyDescent="0.2">
      <c r="A268" s="30"/>
      <c r="B268" s="44" t="s">
        <v>43</v>
      </c>
      <c r="C268" s="45"/>
      <c r="F268" s="468" t="s">
        <v>45</v>
      </c>
      <c r="G268" s="468"/>
      <c r="I268" s="468" t="s">
        <v>46</v>
      </c>
      <c r="J268" s="468"/>
      <c r="K268" s="468"/>
      <c r="L268" s="46"/>
      <c r="N268" s="71"/>
      <c r="O268" s="72" t="s">
        <v>48</v>
      </c>
      <c r="P268" s="72">
        <v>31</v>
      </c>
      <c r="Q268" s="72">
        <v>0</v>
      </c>
      <c r="R268" s="72">
        <f t="shared" si="53"/>
        <v>20</v>
      </c>
      <c r="S268" s="63"/>
      <c r="T268" s="72" t="s">
        <v>48</v>
      </c>
      <c r="U268" s="109">
        <f t="shared" si="54"/>
        <v>31500</v>
      </c>
      <c r="V268" s="74"/>
      <c r="W268" s="109">
        <f t="shared" ref="W268:W277" si="55">IF(U268="","",U268+V268)</f>
        <v>31500</v>
      </c>
      <c r="X268" s="208"/>
      <c r="Y268" s="109">
        <f t="shared" ref="Y268:Y277" si="56">IF(W268="","",W268-X268)</f>
        <v>31500</v>
      </c>
      <c r="Z268" s="76"/>
    </row>
    <row r="269" spans="1:27" s="29" customFormat="1" ht="21" customHeight="1" x14ac:dyDescent="0.2">
      <c r="A269" s="30"/>
      <c r="H269" s="47"/>
      <c r="L269" s="34"/>
      <c r="N269" s="71"/>
      <c r="O269" s="72" t="s">
        <v>49</v>
      </c>
      <c r="P269" s="72">
        <v>28</v>
      </c>
      <c r="Q269" s="72">
        <v>2</v>
      </c>
      <c r="R269" s="72">
        <f t="shared" si="53"/>
        <v>18</v>
      </c>
      <c r="S269" s="63"/>
      <c r="T269" s="72" t="s">
        <v>49</v>
      </c>
      <c r="U269" s="109">
        <f t="shared" si="54"/>
        <v>31500</v>
      </c>
      <c r="V269" s="74">
        <v>10000</v>
      </c>
      <c r="W269" s="109">
        <f t="shared" si="55"/>
        <v>41500</v>
      </c>
      <c r="X269" s="74">
        <v>5000</v>
      </c>
      <c r="Y269" s="109">
        <f t="shared" si="56"/>
        <v>36500</v>
      </c>
      <c r="Z269" s="76"/>
    </row>
    <row r="270" spans="1:27" s="29" customFormat="1" ht="21" customHeight="1" x14ac:dyDescent="0.2">
      <c r="A270" s="30"/>
      <c r="B270" s="472" t="s">
        <v>44</v>
      </c>
      <c r="C270" s="473"/>
      <c r="F270" s="48" t="s">
        <v>66</v>
      </c>
      <c r="G270" s="115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44500</v>
      </c>
      <c r="H270" s="47"/>
      <c r="I270" s="49">
        <f>IF(C274&gt;0,$K$2,C272)</f>
        <v>31</v>
      </c>
      <c r="J270" s="50" t="s">
        <v>63</v>
      </c>
      <c r="K270" s="51">
        <f>K266/$K$2*I270</f>
        <v>30000</v>
      </c>
      <c r="L270" s="52"/>
      <c r="N270" s="71"/>
      <c r="O270" s="72" t="s">
        <v>50</v>
      </c>
      <c r="P270" s="72">
        <v>27</v>
      </c>
      <c r="Q270" s="72">
        <v>4</v>
      </c>
      <c r="R270" s="72">
        <f t="shared" si="53"/>
        <v>14</v>
      </c>
      <c r="S270" s="63"/>
      <c r="T270" s="72" t="s">
        <v>50</v>
      </c>
      <c r="U270" s="109">
        <f t="shared" si="54"/>
        <v>36500</v>
      </c>
      <c r="V270" s="74"/>
      <c r="W270" s="109">
        <f t="shared" si="55"/>
        <v>36500</v>
      </c>
      <c r="X270" s="74"/>
      <c r="Y270" s="109">
        <f t="shared" si="56"/>
        <v>36500</v>
      </c>
      <c r="Z270" s="76"/>
    </row>
    <row r="271" spans="1:27" s="29" customFormat="1" ht="21" customHeight="1" x14ac:dyDescent="0.2">
      <c r="A271" s="30"/>
      <c r="B271" s="39"/>
      <c r="C271" s="39"/>
      <c r="F271" s="48" t="s">
        <v>22</v>
      </c>
      <c r="G271" s="115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32800</v>
      </c>
      <c r="H271" s="47"/>
      <c r="I271" s="84">
        <v>59</v>
      </c>
      <c r="J271" s="50" t="s">
        <v>64</v>
      </c>
      <c r="K271" s="53">
        <f>K266/$K$2/8*I271</f>
        <v>7137.0967741935483</v>
      </c>
      <c r="L271" s="54"/>
      <c r="N271" s="71"/>
      <c r="O271" s="72" t="s">
        <v>51</v>
      </c>
      <c r="P271" s="72">
        <v>29</v>
      </c>
      <c r="Q271" s="72">
        <v>1</v>
      </c>
      <c r="R271" s="72">
        <f t="shared" si="53"/>
        <v>13</v>
      </c>
      <c r="S271" s="63"/>
      <c r="T271" s="72" t="s">
        <v>51</v>
      </c>
      <c r="U271" s="109">
        <f t="shared" si="54"/>
        <v>36500</v>
      </c>
      <c r="V271" s="74">
        <v>8000</v>
      </c>
      <c r="W271" s="109">
        <f t="shared" si="55"/>
        <v>44500</v>
      </c>
      <c r="X271" s="74"/>
      <c r="Y271" s="109">
        <f t="shared" si="56"/>
        <v>44500</v>
      </c>
      <c r="Z271" s="76"/>
    </row>
    <row r="272" spans="1:27" s="29" customFormat="1" ht="21" customHeight="1" x14ac:dyDescent="0.2">
      <c r="A272" s="30"/>
      <c r="B272" s="48" t="s">
        <v>7</v>
      </c>
      <c r="C272" s="39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30</v>
      </c>
      <c r="F272" s="48" t="s">
        <v>67</v>
      </c>
      <c r="G272" s="115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77300</v>
      </c>
      <c r="H272" s="47"/>
      <c r="I272" s="456" t="s">
        <v>71</v>
      </c>
      <c r="J272" s="457"/>
      <c r="K272" s="53">
        <f>K270+K271</f>
        <v>37137.096774193546</v>
      </c>
      <c r="L272" s="54"/>
      <c r="N272" s="71"/>
      <c r="O272" s="72" t="s">
        <v>52</v>
      </c>
      <c r="P272" s="72">
        <v>31</v>
      </c>
      <c r="Q272" s="72">
        <v>0</v>
      </c>
      <c r="R272" s="72">
        <f t="shared" si="53"/>
        <v>13</v>
      </c>
      <c r="S272" s="63"/>
      <c r="T272" s="72" t="s">
        <v>52</v>
      </c>
      <c r="U272" s="109">
        <f t="shared" si="54"/>
        <v>44500</v>
      </c>
      <c r="V272" s="74">
        <v>10000</v>
      </c>
      <c r="W272" s="109">
        <f t="shared" si="55"/>
        <v>54500</v>
      </c>
      <c r="X272" s="74"/>
      <c r="Y272" s="109">
        <f t="shared" si="56"/>
        <v>54500</v>
      </c>
      <c r="Z272" s="76"/>
    </row>
    <row r="273" spans="1:26" s="29" customFormat="1" ht="21" customHeight="1" x14ac:dyDescent="0.2">
      <c r="A273" s="30"/>
      <c r="B273" s="48" t="s">
        <v>6</v>
      </c>
      <c r="C273" s="39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F273" s="48" t="s">
        <v>23</v>
      </c>
      <c r="G273" s="115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7000</v>
      </c>
      <c r="H273" s="47"/>
      <c r="I273" s="456" t="s">
        <v>72</v>
      </c>
      <c r="J273" s="457"/>
      <c r="K273" s="43">
        <f>G273</f>
        <v>7000</v>
      </c>
      <c r="L273" s="55"/>
      <c r="N273" s="71"/>
      <c r="O273" s="72" t="s">
        <v>53</v>
      </c>
      <c r="P273" s="72">
        <v>29</v>
      </c>
      <c r="Q273" s="72">
        <v>2</v>
      </c>
      <c r="R273" s="72">
        <f t="shared" si="53"/>
        <v>11</v>
      </c>
      <c r="S273" s="63"/>
      <c r="T273" s="72" t="s">
        <v>53</v>
      </c>
      <c r="U273" s="109">
        <f>Y272</f>
        <v>54500</v>
      </c>
      <c r="V273" s="74">
        <v>2000</v>
      </c>
      <c r="W273" s="109">
        <f t="shared" si="55"/>
        <v>56500</v>
      </c>
      <c r="X273" s="74">
        <v>7000</v>
      </c>
      <c r="Y273" s="109">
        <f t="shared" si="56"/>
        <v>49500</v>
      </c>
      <c r="Z273" s="76"/>
    </row>
    <row r="274" spans="1:26" s="29" customFormat="1" ht="21" customHeight="1" x14ac:dyDescent="0.2">
      <c r="A274" s="30"/>
      <c r="B274" s="56" t="s">
        <v>70</v>
      </c>
      <c r="C274" s="39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10</v>
      </c>
      <c r="F274" s="48" t="s">
        <v>69</v>
      </c>
      <c r="G274" s="115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70300</v>
      </c>
      <c r="I274" s="458" t="s">
        <v>65</v>
      </c>
      <c r="J274" s="459"/>
      <c r="K274" s="57">
        <f>K272-K273</f>
        <v>30137.096774193546</v>
      </c>
      <c r="L274" s="58"/>
      <c r="N274" s="71"/>
      <c r="O274" s="72" t="s">
        <v>58</v>
      </c>
      <c r="P274" s="72">
        <v>30</v>
      </c>
      <c r="Q274" s="72">
        <v>0</v>
      </c>
      <c r="R274" s="72">
        <f t="shared" si="53"/>
        <v>11</v>
      </c>
      <c r="S274" s="63"/>
      <c r="T274" s="72" t="s">
        <v>58</v>
      </c>
      <c r="U274" s="109">
        <f>Y273</f>
        <v>49500</v>
      </c>
      <c r="V274" s="74"/>
      <c r="W274" s="109">
        <f t="shared" si="55"/>
        <v>49500</v>
      </c>
      <c r="X274" s="74">
        <v>5000</v>
      </c>
      <c r="Y274" s="109">
        <f t="shared" si="56"/>
        <v>44500</v>
      </c>
      <c r="Z274" s="76"/>
    </row>
    <row r="275" spans="1:26" s="29" customFormat="1" ht="21" customHeight="1" x14ac:dyDescent="0.2">
      <c r="A275" s="30"/>
      <c r="L275" s="46"/>
      <c r="N275" s="71"/>
      <c r="O275" s="72" t="s">
        <v>54</v>
      </c>
      <c r="P275" s="72">
        <v>30</v>
      </c>
      <c r="Q275" s="72">
        <v>1</v>
      </c>
      <c r="R275" s="72">
        <f t="shared" si="53"/>
        <v>10</v>
      </c>
      <c r="S275" s="63"/>
      <c r="T275" s="72" t="s">
        <v>54</v>
      </c>
      <c r="U275" s="109">
        <f>Y274</f>
        <v>44500</v>
      </c>
      <c r="V275" s="74">
        <f>2000+30800</f>
        <v>32800</v>
      </c>
      <c r="W275" s="109">
        <f t="shared" si="55"/>
        <v>77300</v>
      </c>
      <c r="X275" s="74">
        <v>7000</v>
      </c>
      <c r="Y275" s="109">
        <f t="shared" si="56"/>
        <v>70300</v>
      </c>
      <c r="Z275" s="76"/>
    </row>
    <row r="276" spans="1:26" s="29" customFormat="1" ht="21" customHeight="1" x14ac:dyDescent="0.2">
      <c r="A276" s="30"/>
      <c r="B276" s="455" t="s">
        <v>94</v>
      </c>
      <c r="C276" s="455"/>
      <c r="D276" s="455"/>
      <c r="E276" s="455"/>
      <c r="F276" s="455"/>
      <c r="G276" s="455"/>
      <c r="H276" s="455"/>
      <c r="I276" s="455"/>
      <c r="J276" s="455"/>
      <c r="K276" s="455"/>
      <c r="L276" s="46"/>
      <c r="N276" s="71"/>
      <c r="O276" s="72" t="s">
        <v>59</v>
      </c>
      <c r="P276" s="72"/>
      <c r="Q276" s="72"/>
      <c r="R276" s="72" t="str">
        <f t="shared" si="53"/>
        <v/>
      </c>
      <c r="S276" s="63"/>
      <c r="T276" s="72" t="s">
        <v>59</v>
      </c>
      <c r="U276" s="109"/>
      <c r="V276" s="74"/>
      <c r="W276" s="109" t="str">
        <f t="shared" si="55"/>
        <v/>
      </c>
      <c r="X276" s="74"/>
      <c r="Y276" s="109" t="str">
        <f t="shared" si="56"/>
        <v/>
      </c>
      <c r="Z276" s="76"/>
    </row>
    <row r="277" spans="1:26" s="29" customFormat="1" ht="21" customHeight="1" x14ac:dyDescent="0.2">
      <c r="A277" s="30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6"/>
      <c r="N277" s="71"/>
      <c r="O277" s="72" t="s">
        <v>60</v>
      </c>
      <c r="P277" s="72"/>
      <c r="Q277" s="72"/>
      <c r="R277" s="72" t="str">
        <f t="shared" si="53"/>
        <v/>
      </c>
      <c r="S277" s="63"/>
      <c r="T277" s="72" t="s">
        <v>60</v>
      </c>
      <c r="U277" s="109"/>
      <c r="V277" s="74"/>
      <c r="W277" s="109" t="str">
        <f t="shared" si="55"/>
        <v/>
      </c>
      <c r="X277" s="74"/>
      <c r="Y277" s="109" t="str">
        <f t="shared" si="56"/>
        <v/>
      </c>
      <c r="Z277" s="76"/>
    </row>
    <row r="278" spans="1:26" s="29" customFormat="1" ht="21" customHeight="1" thickBot="1" x14ac:dyDescent="0.25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1"/>
      <c r="N278" s="77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9"/>
    </row>
    <row r="279" spans="1:26" s="29" customFormat="1" ht="21" hidden="1" customHeight="1" thickBot="1" x14ac:dyDescent="0.25"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s="29" customFormat="1" ht="21" hidden="1" customHeight="1" x14ac:dyDescent="0.2">
      <c r="A280" s="463" t="s">
        <v>42</v>
      </c>
      <c r="B280" s="464"/>
      <c r="C280" s="464"/>
      <c r="D280" s="464"/>
      <c r="E280" s="464"/>
      <c r="F280" s="464"/>
      <c r="G280" s="464"/>
      <c r="H280" s="464"/>
      <c r="I280" s="464"/>
      <c r="J280" s="464"/>
      <c r="K280" s="464"/>
      <c r="L280" s="465"/>
      <c r="M280" s="28"/>
      <c r="N280" s="64"/>
      <c r="O280" s="469" t="s">
        <v>44</v>
      </c>
      <c r="P280" s="470"/>
      <c r="Q280" s="470"/>
      <c r="R280" s="471"/>
      <c r="S280" s="65"/>
      <c r="T280" s="469" t="s">
        <v>45</v>
      </c>
      <c r="U280" s="470"/>
      <c r="V280" s="470"/>
      <c r="W280" s="470"/>
      <c r="X280" s="470"/>
      <c r="Y280" s="471"/>
      <c r="Z280" s="66"/>
    </row>
    <row r="281" spans="1:26" s="29" customFormat="1" ht="21" hidden="1" customHeight="1" x14ac:dyDescent="0.2">
      <c r="A281" s="30"/>
      <c r="C281" s="466" t="s">
        <v>92</v>
      </c>
      <c r="D281" s="466"/>
      <c r="E281" s="466"/>
      <c r="F281" s="466"/>
      <c r="G281" s="31" t="str">
        <f>$J$1</f>
        <v>October</v>
      </c>
      <c r="H281" s="467">
        <f>$K$1</f>
        <v>2022</v>
      </c>
      <c r="I281" s="467"/>
      <c r="K281" s="32"/>
      <c r="L281" s="33"/>
      <c r="M281" s="32"/>
      <c r="N281" s="67"/>
      <c r="O281" s="68" t="s">
        <v>55</v>
      </c>
      <c r="P281" s="68" t="s">
        <v>7</v>
      </c>
      <c r="Q281" s="68" t="s">
        <v>6</v>
      </c>
      <c r="R281" s="68" t="s">
        <v>56</v>
      </c>
      <c r="S281" s="69"/>
      <c r="T281" s="68" t="s">
        <v>55</v>
      </c>
      <c r="U281" s="68" t="s">
        <v>57</v>
      </c>
      <c r="V281" s="68" t="s">
        <v>22</v>
      </c>
      <c r="W281" s="68" t="s">
        <v>21</v>
      </c>
      <c r="X281" s="68" t="s">
        <v>23</v>
      </c>
      <c r="Y281" s="68" t="s">
        <v>61</v>
      </c>
      <c r="Z281" s="70"/>
    </row>
    <row r="282" spans="1:26" s="29" customFormat="1" ht="21" hidden="1" customHeight="1" x14ac:dyDescent="0.2">
      <c r="A282" s="30"/>
      <c r="D282" s="35"/>
      <c r="E282" s="35"/>
      <c r="F282" s="35"/>
      <c r="G282" s="35"/>
      <c r="H282" s="35"/>
      <c r="J282" s="36" t="s">
        <v>1</v>
      </c>
      <c r="K282" s="37"/>
      <c r="L282" s="38"/>
      <c r="N282" s="71"/>
      <c r="O282" s="72" t="s">
        <v>47</v>
      </c>
      <c r="P282" s="72">
        <v>28</v>
      </c>
      <c r="Q282" s="72">
        <v>3</v>
      </c>
      <c r="R282" s="72">
        <v>0</v>
      </c>
      <c r="S282" s="73"/>
      <c r="T282" s="72" t="s">
        <v>47</v>
      </c>
      <c r="U282" s="74"/>
      <c r="V282" s="74"/>
      <c r="W282" s="74">
        <f>V282+U282</f>
        <v>0</v>
      </c>
      <c r="X282" s="74"/>
      <c r="Y282" s="74">
        <f>W282-X282</f>
        <v>0</v>
      </c>
      <c r="Z282" s="70"/>
    </row>
    <row r="283" spans="1:26" s="29" customFormat="1" ht="21" hidden="1" customHeight="1" x14ac:dyDescent="0.2">
      <c r="A283" s="30"/>
      <c r="B283" s="29" t="s">
        <v>0</v>
      </c>
      <c r="C283" s="40"/>
      <c r="H283" s="41"/>
      <c r="I283" s="35"/>
      <c r="L283" s="42"/>
      <c r="M283" s="28"/>
      <c r="N283" s="75"/>
      <c r="O283" s="72" t="s">
        <v>73</v>
      </c>
      <c r="P283" s="72">
        <v>21</v>
      </c>
      <c r="Q283" s="72">
        <v>8</v>
      </c>
      <c r="R283" s="72">
        <v>0</v>
      </c>
      <c r="S283" s="63"/>
      <c r="T283" s="72" t="s">
        <v>73</v>
      </c>
      <c r="U283" s="109">
        <f>Y282</f>
        <v>0</v>
      </c>
      <c r="V283" s="74"/>
      <c r="W283" s="109">
        <f>IF(U283="","",U283+V283)</f>
        <v>0</v>
      </c>
      <c r="X283" s="74"/>
      <c r="Y283" s="109">
        <f>IF(W283="","",W283-X283)</f>
        <v>0</v>
      </c>
      <c r="Z283" s="76"/>
    </row>
    <row r="284" spans="1:26" s="29" customFormat="1" ht="21" hidden="1" customHeight="1" x14ac:dyDescent="0.2">
      <c r="A284" s="30"/>
      <c r="B284" s="44" t="s">
        <v>43</v>
      </c>
      <c r="C284" s="40"/>
      <c r="F284" s="468" t="s">
        <v>45</v>
      </c>
      <c r="G284" s="468"/>
      <c r="I284" s="468" t="s">
        <v>46</v>
      </c>
      <c r="J284" s="468"/>
      <c r="K284" s="468"/>
      <c r="L284" s="46"/>
      <c r="N284" s="71"/>
      <c r="O284" s="72" t="s">
        <v>48</v>
      </c>
      <c r="P284" s="72"/>
      <c r="Q284" s="72"/>
      <c r="R284" s="72">
        <v>0</v>
      </c>
      <c r="S284" s="63"/>
      <c r="T284" s="72" t="s">
        <v>48</v>
      </c>
      <c r="U284" s="109">
        <f>IF($J$1="April",Y283,Y283)</f>
        <v>0</v>
      </c>
      <c r="V284" s="74"/>
      <c r="W284" s="109">
        <f t="shared" ref="W284:W293" si="57">IF(U284="","",U284+V284)</f>
        <v>0</v>
      </c>
      <c r="X284" s="74"/>
      <c r="Y284" s="109">
        <f t="shared" ref="Y284:Y293" si="58">IF(W284="","",W284-X284)</f>
        <v>0</v>
      </c>
      <c r="Z284" s="76"/>
    </row>
    <row r="285" spans="1:26" s="29" customFormat="1" ht="21" hidden="1" customHeight="1" x14ac:dyDescent="0.2">
      <c r="A285" s="30"/>
      <c r="H285" s="47"/>
      <c r="L285" s="34"/>
      <c r="N285" s="71"/>
      <c r="O285" s="72" t="s">
        <v>49</v>
      </c>
      <c r="P285" s="72"/>
      <c r="Q285" s="72"/>
      <c r="R285" s="72">
        <v>0</v>
      </c>
      <c r="S285" s="63"/>
      <c r="T285" s="72" t="s">
        <v>49</v>
      </c>
      <c r="U285" s="109">
        <f>IF($J$1="April",Y284,Y284)</f>
        <v>0</v>
      </c>
      <c r="V285" s="74"/>
      <c r="W285" s="109">
        <f t="shared" si="57"/>
        <v>0</v>
      </c>
      <c r="X285" s="74"/>
      <c r="Y285" s="109">
        <f t="shared" si="58"/>
        <v>0</v>
      </c>
      <c r="Z285" s="76"/>
    </row>
    <row r="286" spans="1:26" s="29" customFormat="1" ht="21" hidden="1" customHeight="1" x14ac:dyDescent="0.2">
      <c r="A286" s="30"/>
      <c r="B286" s="472" t="s">
        <v>44</v>
      </c>
      <c r="C286" s="473"/>
      <c r="F286" s="48" t="s">
        <v>66</v>
      </c>
      <c r="G286" s="43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7"/>
      <c r="I286" s="49">
        <f>IF(C290&gt;0,$K$2,C288)</f>
        <v>0</v>
      </c>
      <c r="J286" s="50" t="s">
        <v>63</v>
      </c>
      <c r="K286" s="51">
        <f>K282/$K$2*I286</f>
        <v>0</v>
      </c>
      <c r="L286" s="52"/>
      <c r="N286" s="71"/>
      <c r="O286" s="72" t="s">
        <v>50</v>
      </c>
      <c r="P286" s="72"/>
      <c r="Q286" s="72"/>
      <c r="R286" s="72" t="str">
        <f t="shared" ref="R286:R289" si="59">IF(Q286="","",R285-Q286)</f>
        <v/>
      </c>
      <c r="S286" s="63"/>
      <c r="T286" s="72" t="s">
        <v>50</v>
      </c>
      <c r="U286" s="109">
        <f>IF($J$1="May",Y285,Y285)</f>
        <v>0</v>
      </c>
      <c r="V286" s="74"/>
      <c r="W286" s="109">
        <f t="shared" si="57"/>
        <v>0</v>
      </c>
      <c r="X286" s="74"/>
      <c r="Y286" s="109">
        <f t="shared" si="58"/>
        <v>0</v>
      </c>
      <c r="Z286" s="76"/>
    </row>
    <row r="287" spans="1:26" s="29" customFormat="1" ht="21" hidden="1" customHeight="1" x14ac:dyDescent="0.2">
      <c r="A287" s="30"/>
      <c r="B287" s="39"/>
      <c r="C287" s="39"/>
      <c r="F287" s="48" t="s">
        <v>22</v>
      </c>
      <c r="G287" s="43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7"/>
      <c r="I287" s="84"/>
      <c r="J287" s="50" t="s">
        <v>64</v>
      </c>
      <c r="K287" s="53">
        <f>K282/$K$2/8*I287</f>
        <v>0</v>
      </c>
      <c r="L287" s="54"/>
      <c r="N287" s="71"/>
      <c r="O287" s="72" t="s">
        <v>51</v>
      </c>
      <c r="P287" s="72"/>
      <c r="Q287" s="72"/>
      <c r="R287" s="72">
        <v>0</v>
      </c>
      <c r="S287" s="63"/>
      <c r="T287" s="72" t="s">
        <v>51</v>
      </c>
      <c r="U287" s="109">
        <f>IF($J$1="May",Y286,Y286)</f>
        <v>0</v>
      </c>
      <c r="V287" s="74"/>
      <c r="W287" s="109">
        <f t="shared" si="57"/>
        <v>0</v>
      </c>
      <c r="X287" s="74"/>
      <c r="Y287" s="109">
        <f t="shared" si="58"/>
        <v>0</v>
      </c>
      <c r="Z287" s="76"/>
    </row>
    <row r="288" spans="1:26" s="29" customFormat="1" ht="21" hidden="1" customHeight="1" x14ac:dyDescent="0.2">
      <c r="A288" s="30"/>
      <c r="B288" s="48" t="s">
        <v>7</v>
      </c>
      <c r="C288" s="39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F288" s="48" t="s">
        <v>67</v>
      </c>
      <c r="G288" s="43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7"/>
      <c r="I288" s="456" t="s">
        <v>71</v>
      </c>
      <c r="J288" s="457"/>
      <c r="K288" s="53">
        <f>K286+K287</f>
        <v>0</v>
      </c>
      <c r="L288" s="54"/>
      <c r="N288" s="71"/>
      <c r="O288" s="72" t="s">
        <v>52</v>
      </c>
      <c r="P288" s="72"/>
      <c r="Q288" s="72"/>
      <c r="R288" s="72">
        <v>0</v>
      </c>
      <c r="S288" s="63"/>
      <c r="T288" s="72" t="s">
        <v>52</v>
      </c>
      <c r="U288" s="109">
        <f>IF($J$1="May",Y287,Y287)</f>
        <v>0</v>
      </c>
      <c r="V288" s="74"/>
      <c r="W288" s="109">
        <f t="shared" si="57"/>
        <v>0</v>
      </c>
      <c r="X288" s="74"/>
      <c r="Y288" s="109">
        <f t="shared" si="58"/>
        <v>0</v>
      </c>
      <c r="Z288" s="76"/>
    </row>
    <row r="289" spans="1:26" s="29" customFormat="1" ht="21" hidden="1" customHeight="1" x14ac:dyDescent="0.2">
      <c r="A289" s="30"/>
      <c r="B289" s="48" t="s">
        <v>6</v>
      </c>
      <c r="C289" s="39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F289" s="48" t="s">
        <v>23</v>
      </c>
      <c r="G289" s="43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7"/>
      <c r="I289" s="456" t="s">
        <v>72</v>
      </c>
      <c r="J289" s="457"/>
      <c r="K289" s="43">
        <f>G289</f>
        <v>0</v>
      </c>
      <c r="L289" s="55"/>
      <c r="N289" s="71"/>
      <c r="O289" s="72" t="s">
        <v>53</v>
      </c>
      <c r="P289" s="72"/>
      <c r="Q289" s="72"/>
      <c r="R289" s="72" t="str">
        <f t="shared" si="59"/>
        <v/>
      </c>
      <c r="S289" s="63"/>
      <c r="T289" s="72" t="s">
        <v>53</v>
      </c>
      <c r="U289" s="109">
        <f t="shared" ref="U289:U292" si="60">IF($J$1="May",Y288,Y288)</f>
        <v>0</v>
      </c>
      <c r="V289" s="74"/>
      <c r="W289" s="109">
        <f t="shared" si="57"/>
        <v>0</v>
      </c>
      <c r="X289" s="74"/>
      <c r="Y289" s="109">
        <f t="shared" si="58"/>
        <v>0</v>
      </c>
      <c r="Z289" s="76"/>
    </row>
    <row r="290" spans="1:26" s="29" customFormat="1" ht="21" hidden="1" customHeight="1" x14ac:dyDescent="0.2">
      <c r="A290" s="30"/>
      <c r="B290" s="56" t="s">
        <v>70</v>
      </c>
      <c r="C290" s="39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F290" s="48" t="s">
        <v>69</v>
      </c>
      <c r="G290" s="43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I290" s="458" t="s">
        <v>65</v>
      </c>
      <c r="J290" s="459"/>
      <c r="K290" s="57">
        <f>K288-K289</f>
        <v>0</v>
      </c>
      <c r="L290" s="58"/>
      <c r="N290" s="71"/>
      <c r="O290" s="72" t="s">
        <v>58</v>
      </c>
      <c r="P290" s="72"/>
      <c r="Q290" s="72"/>
      <c r="R290" s="72">
        <v>0</v>
      </c>
      <c r="S290" s="63"/>
      <c r="T290" s="72" t="s">
        <v>58</v>
      </c>
      <c r="U290" s="109">
        <f t="shared" si="60"/>
        <v>0</v>
      </c>
      <c r="V290" s="74"/>
      <c r="W290" s="109">
        <f t="shared" si="57"/>
        <v>0</v>
      </c>
      <c r="X290" s="74"/>
      <c r="Y290" s="109">
        <f t="shared" si="58"/>
        <v>0</v>
      </c>
      <c r="Z290" s="76"/>
    </row>
    <row r="291" spans="1:26" s="29" customFormat="1" ht="21" hidden="1" customHeight="1" x14ac:dyDescent="0.2">
      <c r="A291" s="30"/>
      <c r="L291" s="46"/>
      <c r="N291" s="71"/>
      <c r="O291" s="72" t="s">
        <v>54</v>
      </c>
      <c r="P291" s="72"/>
      <c r="Q291" s="72"/>
      <c r="R291" s="72">
        <v>0</v>
      </c>
      <c r="S291" s="63"/>
      <c r="T291" s="72" t="s">
        <v>54</v>
      </c>
      <c r="U291" s="109">
        <f t="shared" si="60"/>
        <v>0</v>
      </c>
      <c r="V291" s="74"/>
      <c r="W291" s="109">
        <f t="shared" si="57"/>
        <v>0</v>
      </c>
      <c r="X291" s="74"/>
      <c r="Y291" s="109">
        <f t="shared" si="58"/>
        <v>0</v>
      </c>
      <c r="Z291" s="76"/>
    </row>
    <row r="292" spans="1:26" s="29" customFormat="1" ht="21" hidden="1" customHeight="1" x14ac:dyDescent="0.2">
      <c r="A292" s="30"/>
      <c r="B292" s="455"/>
      <c r="C292" s="455"/>
      <c r="D292" s="455"/>
      <c r="E292" s="455"/>
      <c r="F292" s="455"/>
      <c r="G292" s="455"/>
      <c r="H292" s="455"/>
      <c r="I292" s="455"/>
      <c r="J292" s="455"/>
      <c r="K292" s="455"/>
      <c r="L292" s="46"/>
      <c r="N292" s="71"/>
      <c r="O292" s="72" t="s">
        <v>59</v>
      </c>
      <c r="P292" s="72"/>
      <c r="Q292" s="72"/>
      <c r="R292" s="72">
        <v>0</v>
      </c>
      <c r="S292" s="63"/>
      <c r="T292" s="72" t="s">
        <v>59</v>
      </c>
      <c r="U292" s="109">
        <f t="shared" si="60"/>
        <v>0</v>
      </c>
      <c r="V292" s="74"/>
      <c r="W292" s="109">
        <f t="shared" si="57"/>
        <v>0</v>
      </c>
      <c r="X292" s="74"/>
      <c r="Y292" s="109">
        <f t="shared" si="58"/>
        <v>0</v>
      </c>
      <c r="Z292" s="76"/>
    </row>
    <row r="293" spans="1:26" s="29" customFormat="1" ht="21" hidden="1" customHeight="1" x14ac:dyDescent="0.2">
      <c r="A293" s="30"/>
      <c r="B293" s="455"/>
      <c r="C293" s="455"/>
      <c r="D293" s="455"/>
      <c r="E293" s="455"/>
      <c r="F293" s="455"/>
      <c r="G293" s="455"/>
      <c r="H293" s="455"/>
      <c r="I293" s="455"/>
      <c r="J293" s="455"/>
      <c r="K293" s="455"/>
      <c r="L293" s="46"/>
      <c r="N293" s="71"/>
      <c r="O293" s="72" t="s">
        <v>60</v>
      </c>
      <c r="P293" s="72"/>
      <c r="Q293" s="72"/>
      <c r="R293" s="72">
        <v>0</v>
      </c>
      <c r="S293" s="63"/>
      <c r="T293" s="72" t="s">
        <v>60</v>
      </c>
      <c r="U293" s="109" t="str">
        <f>IF($J$1="Dec",Y292,"")</f>
        <v/>
      </c>
      <c r="V293" s="74"/>
      <c r="W293" s="109" t="str">
        <f t="shared" si="57"/>
        <v/>
      </c>
      <c r="X293" s="74"/>
      <c r="Y293" s="109" t="str">
        <f t="shared" si="58"/>
        <v/>
      </c>
      <c r="Z293" s="76"/>
    </row>
    <row r="294" spans="1:26" s="29" customFormat="1" ht="21" hidden="1" customHeight="1" thickBot="1" x14ac:dyDescent="0.25">
      <c r="A294" s="5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1"/>
      <c r="N294" s="77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9"/>
    </row>
    <row r="295" spans="1:26" s="29" customFormat="1" ht="21" hidden="1" customHeight="1" thickBot="1" x14ac:dyDescent="0.25"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s="29" customFormat="1" ht="21" hidden="1" customHeight="1" x14ac:dyDescent="0.2">
      <c r="A296" s="500" t="s">
        <v>42</v>
      </c>
      <c r="B296" s="501"/>
      <c r="C296" s="501"/>
      <c r="D296" s="501"/>
      <c r="E296" s="501"/>
      <c r="F296" s="501"/>
      <c r="G296" s="501"/>
      <c r="H296" s="501"/>
      <c r="I296" s="501"/>
      <c r="J296" s="501"/>
      <c r="K296" s="501"/>
      <c r="L296" s="502"/>
      <c r="M296" s="28"/>
      <c r="N296" s="64"/>
      <c r="O296" s="469" t="s">
        <v>44</v>
      </c>
      <c r="P296" s="470"/>
      <c r="Q296" s="470"/>
      <c r="R296" s="471"/>
      <c r="S296" s="65"/>
      <c r="T296" s="469" t="s">
        <v>45</v>
      </c>
      <c r="U296" s="470"/>
      <c r="V296" s="470"/>
      <c r="W296" s="470"/>
      <c r="X296" s="470"/>
      <c r="Y296" s="471"/>
      <c r="Z296" s="63"/>
    </row>
    <row r="297" spans="1:26" s="29" customFormat="1" ht="21" hidden="1" customHeight="1" x14ac:dyDescent="0.2">
      <c r="A297" s="30"/>
      <c r="C297" s="466" t="s">
        <v>92</v>
      </c>
      <c r="D297" s="466"/>
      <c r="E297" s="466"/>
      <c r="F297" s="466"/>
      <c r="G297" s="31" t="str">
        <f>$J$1</f>
        <v>October</v>
      </c>
      <c r="H297" s="467">
        <f>$K$1</f>
        <v>2022</v>
      </c>
      <c r="I297" s="467"/>
      <c r="K297" s="32"/>
      <c r="L297" s="33"/>
      <c r="M297" s="32"/>
      <c r="N297" s="67"/>
      <c r="O297" s="68" t="s">
        <v>55</v>
      </c>
      <c r="P297" s="68" t="s">
        <v>7</v>
      </c>
      <c r="Q297" s="68" t="s">
        <v>6</v>
      </c>
      <c r="R297" s="68" t="s">
        <v>56</v>
      </c>
      <c r="S297" s="69"/>
      <c r="T297" s="68" t="s">
        <v>55</v>
      </c>
      <c r="U297" s="68" t="s">
        <v>57</v>
      </c>
      <c r="V297" s="68" t="s">
        <v>22</v>
      </c>
      <c r="W297" s="68" t="s">
        <v>21</v>
      </c>
      <c r="X297" s="68" t="s">
        <v>23</v>
      </c>
      <c r="Y297" s="68" t="s">
        <v>61</v>
      </c>
      <c r="Z297" s="63"/>
    </row>
    <row r="298" spans="1:26" s="29" customFormat="1" ht="21" hidden="1" customHeight="1" x14ac:dyDescent="0.2">
      <c r="A298" s="30"/>
      <c r="D298" s="35"/>
      <c r="E298" s="35"/>
      <c r="F298" s="35"/>
      <c r="G298" s="35"/>
      <c r="H298" s="35"/>
      <c r="J298" s="36" t="s">
        <v>1</v>
      </c>
      <c r="K298" s="37"/>
      <c r="L298" s="38"/>
      <c r="N298" s="71"/>
      <c r="O298" s="72" t="s">
        <v>47</v>
      </c>
      <c r="P298" s="72"/>
      <c r="Q298" s="72"/>
      <c r="R298" s="72"/>
      <c r="S298" s="73"/>
      <c r="T298" s="72" t="s">
        <v>47</v>
      </c>
      <c r="U298" s="74"/>
      <c r="V298" s="74"/>
      <c r="W298" s="74">
        <f>V298+U298</f>
        <v>0</v>
      </c>
      <c r="X298" s="74"/>
      <c r="Y298" s="74">
        <f>W298-X298</f>
        <v>0</v>
      </c>
      <c r="Z298" s="63"/>
    </row>
    <row r="299" spans="1:26" s="29" customFormat="1" ht="21" hidden="1" customHeight="1" x14ac:dyDescent="0.2">
      <c r="A299" s="30"/>
      <c r="B299" s="29" t="s">
        <v>0</v>
      </c>
      <c r="C299" s="40"/>
      <c r="H299" s="41"/>
      <c r="I299" s="35"/>
      <c r="L299" s="42"/>
      <c r="M299" s="28"/>
      <c r="N299" s="75"/>
      <c r="O299" s="72" t="s">
        <v>73</v>
      </c>
      <c r="P299" s="72"/>
      <c r="Q299" s="72"/>
      <c r="R299" s="72" t="str">
        <f>IF(Q299="","",R298-Q299)</f>
        <v/>
      </c>
      <c r="S299" s="63"/>
      <c r="T299" s="72" t="s">
        <v>73</v>
      </c>
      <c r="U299" s="109">
        <f>Y298</f>
        <v>0</v>
      </c>
      <c r="V299" s="74"/>
      <c r="W299" s="109">
        <f>IF(U299="","",U299+V299)</f>
        <v>0</v>
      </c>
      <c r="X299" s="74"/>
      <c r="Y299" s="109">
        <f>IF(W299="","",W299-X299)</f>
        <v>0</v>
      </c>
      <c r="Z299" s="63"/>
    </row>
    <row r="300" spans="1:26" s="29" customFormat="1" ht="21" hidden="1" customHeight="1" x14ac:dyDescent="0.2">
      <c r="A300" s="30"/>
      <c r="B300" s="44" t="s">
        <v>43</v>
      </c>
      <c r="C300" s="45"/>
      <c r="F300" s="468" t="s">
        <v>45</v>
      </c>
      <c r="G300" s="468"/>
      <c r="I300" s="468" t="s">
        <v>46</v>
      </c>
      <c r="J300" s="468"/>
      <c r="K300" s="468"/>
      <c r="L300" s="46"/>
      <c r="N300" s="71"/>
      <c r="O300" s="72" t="s">
        <v>48</v>
      </c>
      <c r="P300" s="72"/>
      <c r="Q300" s="72"/>
      <c r="R300" s="72" t="str">
        <f t="shared" ref="R300:R309" si="61">IF(Q300="","",R299-Q300)</f>
        <v/>
      </c>
      <c r="S300" s="63"/>
      <c r="T300" s="72" t="s">
        <v>48</v>
      </c>
      <c r="U300" s="109">
        <f>IF($J$1="April",Y299,Y299)</f>
        <v>0</v>
      </c>
      <c r="V300" s="74"/>
      <c r="W300" s="109">
        <f t="shared" ref="W300:W309" si="62">IF(U300="","",U300+V300)</f>
        <v>0</v>
      </c>
      <c r="X300" s="74"/>
      <c r="Y300" s="109">
        <f t="shared" ref="Y300:Y309" si="63">IF(W300="","",W300-X300)</f>
        <v>0</v>
      </c>
      <c r="Z300" s="63"/>
    </row>
    <row r="301" spans="1:26" s="29" customFormat="1" ht="21" hidden="1" customHeight="1" x14ac:dyDescent="0.2">
      <c r="A301" s="30"/>
      <c r="H301" s="47"/>
      <c r="L301" s="34"/>
      <c r="N301" s="71"/>
      <c r="O301" s="72" t="s">
        <v>49</v>
      </c>
      <c r="P301" s="72"/>
      <c r="Q301" s="72"/>
      <c r="R301" s="72" t="str">
        <f t="shared" si="61"/>
        <v/>
      </c>
      <c r="S301" s="63"/>
      <c r="T301" s="72" t="s">
        <v>49</v>
      </c>
      <c r="U301" s="109">
        <f>IF($J$1="April",Y300,Y300)</f>
        <v>0</v>
      </c>
      <c r="V301" s="74"/>
      <c r="W301" s="109">
        <f t="shared" si="62"/>
        <v>0</v>
      </c>
      <c r="X301" s="74"/>
      <c r="Y301" s="109">
        <f t="shared" si="63"/>
        <v>0</v>
      </c>
      <c r="Z301" s="63"/>
    </row>
    <row r="302" spans="1:26" s="29" customFormat="1" ht="21" hidden="1" customHeight="1" x14ac:dyDescent="0.2">
      <c r="A302" s="30"/>
      <c r="B302" s="472" t="s">
        <v>44</v>
      </c>
      <c r="C302" s="473"/>
      <c r="F302" s="48" t="s">
        <v>66</v>
      </c>
      <c r="G302" s="43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7"/>
      <c r="I302" s="49"/>
      <c r="J302" s="50" t="s">
        <v>63</v>
      </c>
      <c r="K302" s="51">
        <f>K298/$K$2*I302</f>
        <v>0</v>
      </c>
      <c r="L302" s="52"/>
      <c r="N302" s="71"/>
      <c r="O302" s="72" t="s">
        <v>50</v>
      </c>
      <c r="P302" s="72"/>
      <c r="Q302" s="72"/>
      <c r="R302" s="72" t="str">
        <f t="shared" si="61"/>
        <v/>
      </c>
      <c r="S302" s="63"/>
      <c r="T302" s="72" t="s">
        <v>50</v>
      </c>
      <c r="U302" s="109">
        <f>IF($J$1="May",Y301,Y301)</f>
        <v>0</v>
      </c>
      <c r="V302" s="74"/>
      <c r="W302" s="109">
        <f t="shared" si="62"/>
        <v>0</v>
      </c>
      <c r="X302" s="74"/>
      <c r="Y302" s="109">
        <f t="shared" si="63"/>
        <v>0</v>
      </c>
      <c r="Z302" s="63"/>
    </row>
    <row r="303" spans="1:26" s="29" customFormat="1" ht="21" hidden="1" customHeight="1" x14ac:dyDescent="0.2">
      <c r="A303" s="30"/>
      <c r="B303" s="39"/>
      <c r="C303" s="39"/>
      <c r="F303" s="48" t="s">
        <v>22</v>
      </c>
      <c r="G303" s="43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7"/>
      <c r="I303" s="84"/>
      <c r="J303" s="50" t="s">
        <v>64</v>
      </c>
      <c r="K303" s="53">
        <f>K298/$K$2/8*I303</f>
        <v>0</v>
      </c>
      <c r="L303" s="54"/>
      <c r="N303" s="71"/>
      <c r="O303" s="72" t="s">
        <v>51</v>
      </c>
      <c r="P303" s="72"/>
      <c r="Q303" s="72"/>
      <c r="R303" s="72" t="str">
        <f t="shared" si="61"/>
        <v/>
      </c>
      <c r="S303" s="63"/>
      <c r="T303" s="72" t="s">
        <v>51</v>
      </c>
      <c r="U303" s="109">
        <f>IF($J$1="May",Y302,Y302)</f>
        <v>0</v>
      </c>
      <c r="V303" s="74"/>
      <c r="W303" s="109">
        <f t="shared" si="62"/>
        <v>0</v>
      </c>
      <c r="X303" s="74"/>
      <c r="Y303" s="109">
        <f t="shared" si="63"/>
        <v>0</v>
      </c>
      <c r="Z303" s="63"/>
    </row>
    <row r="304" spans="1:26" s="29" customFormat="1" ht="21" hidden="1" customHeight="1" x14ac:dyDescent="0.2">
      <c r="A304" s="30"/>
      <c r="B304" s="48" t="s">
        <v>7</v>
      </c>
      <c r="C304" s="39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F304" s="48" t="s">
        <v>67</v>
      </c>
      <c r="G304" s="43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7"/>
      <c r="I304" s="456" t="s">
        <v>71</v>
      </c>
      <c r="J304" s="457"/>
      <c r="K304" s="53">
        <f>K302+K303</f>
        <v>0</v>
      </c>
      <c r="L304" s="54"/>
      <c r="N304" s="71"/>
      <c r="O304" s="72" t="s">
        <v>52</v>
      </c>
      <c r="P304" s="72"/>
      <c r="Q304" s="72"/>
      <c r="R304" s="72" t="str">
        <f t="shared" si="61"/>
        <v/>
      </c>
      <c r="S304" s="63"/>
      <c r="T304" s="72" t="s">
        <v>52</v>
      </c>
      <c r="U304" s="109" t="str">
        <f>IF($J$1="July",Y303,"")</f>
        <v/>
      </c>
      <c r="V304" s="74"/>
      <c r="W304" s="109" t="str">
        <f t="shared" si="62"/>
        <v/>
      </c>
      <c r="X304" s="74"/>
      <c r="Y304" s="109" t="str">
        <f t="shared" si="63"/>
        <v/>
      </c>
      <c r="Z304" s="63"/>
    </row>
    <row r="305" spans="1:27" s="29" customFormat="1" ht="21" hidden="1" customHeight="1" x14ac:dyDescent="0.2">
      <c r="A305" s="30"/>
      <c r="B305" s="48" t="s">
        <v>6</v>
      </c>
      <c r="C305" s="39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F305" s="48" t="s">
        <v>23</v>
      </c>
      <c r="G305" s="43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7"/>
      <c r="I305" s="456" t="s">
        <v>72</v>
      </c>
      <c r="J305" s="457"/>
      <c r="K305" s="43">
        <f>G305</f>
        <v>0</v>
      </c>
      <c r="L305" s="55"/>
      <c r="N305" s="71"/>
      <c r="O305" s="72" t="s">
        <v>53</v>
      </c>
      <c r="P305" s="72"/>
      <c r="Q305" s="72"/>
      <c r="R305" s="72" t="str">
        <f t="shared" si="61"/>
        <v/>
      </c>
      <c r="S305" s="63"/>
      <c r="T305" s="72" t="s">
        <v>53</v>
      </c>
      <c r="U305" s="109" t="str">
        <f>IF($J$1="August",Y304,"")</f>
        <v/>
      </c>
      <c r="V305" s="74"/>
      <c r="W305" s="109" t="str">
        <f t="shared" si="62"/>
        <v/>
      </c>
      <c r="X305" s="74"/>
      <c r="Y305" s="109" t="str">
        <f t="shared" si="63"/>
        <v/>
      </c>
      <c r="Z305" s="63"/>
    </row>
    <row r="306" spans="1:27" s="29" customFormat="1" ht="21" hidden="1" customHeight="1" x14ac:dyDescent="0.2">
      <c r="A306" s="30"/>
      <c r="B306" s="56" t="s">
        <v>70</v>
      </c>
      <c r="C306" s="39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F306" s="48" t="s">
        <v>69</v>
      </c>
      <c r="G306" s="43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I306" s="458" t="s">
        <v>65</v>
      </c>
      <c r="J306" s="459"/>
      <c r="K306" s="57">
        <f>K304-K305</f>
        <v>0</v>
      </c>
      <c r="L306" s="58"/>
      <c r="N306" s="71"/>
      <c r="O306" s="72" t="s">
        <v>58</v>
      </c>
      <c r="P306" s="72"/>
      <c r="Q306" s="72"/>
      <c r="R306" s="72" t="str">
        <f t="shared" si="61"/>
        <v/>
      </c>
      <c r="S306" s="63"/>
      <c r="T306" s="72" t="s">
        <v>58</v>
      </c>
      <c r="U306" s="109" t="str">
        <f>IF($J$1="Sept",Y305,"")</f>
        <v/>
      </c>
      <c r="V306" s="74"/>
      <c r="W306" s="109" t="str">
        <f t="shared" si="62"/>
        <v/>
      </c>
      <c r="X306" s="74"/>
      <c r="Y306" s="109" t="str">
        <f t="shared" si="63"/>
        <v/>
      </c>
      <c r="Z306" s="63"/>
    </row>
    <row r="307" spans="1:27" s="29" customFormat="1" ht="21" hidden="1" customHeight="1" x14ac:dyDescent="0.2">
      <c r="A307" s="30"/>
      <c r="L307" s="46"/>
      <c r="N307" s="71"/>
      <c r="O307" s="72" t="s">
        <v>54</v>
      </c>
      <c r="P307" s="72"/>
      <c r="Q307" s="72"/>
      <c r="R307" s="72" t="str">
        <f t="shared" si="61"/>
        <v/>
      </c>
      <c r="S307" s="63"/>
      <c r="T307" s="72" t="s">
        <v>54</v>
      </c>
      <c r="U307" s="109" t="str">
        <f>IF($J$1="October",Y306,"")</f>
        <v/>
      </c>
      <c r="V307" s="74"/>
      <c r="W307" s="109" t="str">
        <f t="shared" si="62"/>
        <v/>
      </c>
      <c r="X307" s="74"/>
      <c r="Y307" s="109" t="str">
        <f t="shared" si="63"/>
        <v/>
      </c>
      <c r="Z307" s="63"/>
    </row>
    <row r="308" spans="1:27" s="29" customFormat="1" ht="21" hidden="1" customHeight="1" x14ac:dyDescent="0.2">
      <c r="A308" s="30"/>
      <c r="B308" s="455" t="s">
        <v>94</v>
      </c>
      <c r="C308" s="455"/>
      <c r="D308" s="455"/>
      <c r="E308" s="455"/>
      <c r="F308" s="455"/>
      <c r="G308" s="455"/>
      <c r="H308" s="455"/>
      <c r="I308" s="455"/>
      <c r="J308" s="455"/>
      <c r="K308" s="455"/>
      <c r="L308" s="46"/>
      <c r="N308" s="71"/>
      <c r="O308" s="72" t="s">
        <v>59</v>
      </c>
      <c r="P308" s="72"/>
      <c r="Q308" s="72"/>
      <c r="R308" s="72" t="str">
        <f t="shared" si="61"/>
        <v/>
      </c>
      <c r="S308" s="63"/>
      <c r="T308" s="72" t="s">
        <v>59</v>
      </c>
      <c r="U308" s="109" t="str">
        <f>IF($J$1="November",Y307,"")</f>
        <v/>
      </c>
      <c r="V308" s="74"/>
      <c r="W308" s="109" t="str">
        <f t="shared" si="62"/>
        <v/>
      </c>
      <c r="X308" s="74"/>
      <c r="Y308" s="109" t="str">
        <f t="shared" si="63"/>
        <v/>
      </c>
      <c r="Z308" s="63"/>
    </row>
    <row r="309" spans="1:27" s="29" customFormat="1" ht="21" hidden="1" customHeight="1" x14ac:dyDescent="0.2">
      <c r="A309" s="30"/>
      <c r="B309" s="455"/>
      <c r="C309" s="455"/>
      <c r="D309" s="455"/>
      <c r="E309" s="455"/>
      <c r="F309" s="455"/>
      <c r="G309" s="455"/>
      <c r="H309" s="455"/>
      <c r="I309" s="455"/>
      <c r="J309" s="455"/>
      <c r="K309" s="455"/>
      <c r="L309" s="46"/>
      <c r="N309" s="71"/>
      <c r="O309" s="72" t="s">
        <v>60</v>
      </c>
      <c r="P309" s="72"/>
      <c r="Q309" s="72"/>
      <c r="R309" s="72" t="str">
        <f t="shared" si="61"/>
        <v/>
      </c>
      <c r="S309" s="63"/>
      <c r="T309" s="72" t="s">
        <v>60</v>
      </c>
      <c r="U309" s="109" t="str">
        <f>IF($J$1="Dec",Y308,"")</f>
        <v/>
      </c>
      <c r="V309" s="74"/>
      <c r="W309" s="109" t="str">
        <f t="shared" si="62"/>
        <v/>
      </c>
      <c r="X309" s="74"/>
      <c r="Y309" s="109" t="str">
        <f t="shared" si="63"/>
        <v/>
      </c>
      <c r="Z309" s="63"/>
    </row>
    <row r="310" spans="1:27" s="29" customFormat="1" ht="21" hidden="1" customHeight="1" thickBot="1" x14ac:dyDescent="0.25">
      <c r="A310" s="5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1"/>
      <c r="N310" s="77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63"/>
    </row>
    <row r="311" spans="1:27" ht="15.75" thickBot="1" x14ac:dyDescent="0.3"/>
    <row r="312" spans="1:27" s="29" customFormat="1" ht="21" customHeight="1" x14ac:dyDescent="0.2">
      <c r="A312" s="463" t="s">
        <v>42</v>
      </c>
      <c r="B312" s="464"/>
      <c r="C312" s="464"/>
      <c r="D312" s="464"/>
      <c r="E312" s="464"/>
      <c r="F312" s="464"/>
      <c r="G312" s="464"/>
      <c r="H312" s="464"/>
      <c r="I312" s="464"/>
      <c r="J312" s="464"/>
      <c r="K312" s="464"/>
      <c r="L312" s="465"/>
      <c r="M312" s="28"/>
      <c r="N312" s="64"/>
      <c r="O312" s="469" t="s">
        <v>44</v>
      </c>
      <c r="P312" s="470"/>
      <c r="Q312" s="470"/>
      <c r="R312" s="471"/>
      <c r="S312" s="65"/>
      <c r="T312" s="469" t="s">
        <v>45</v>
      </c>
      <c r="U312" s="470"/>
      <c r="V312" s="470"/>
      <c r="W312" s="470"/>
      <c r="X312" s="470"/>
      <c r="Y312" s="471"/>
      <c r="Z312" s="66"/>
      <c r="AA312" s="28"/>
    </row>
    <row r="313" spans="1:27" s="29" customFormat="1" ht="21" customHeight="1" x14ac:dyDescent="0.2">
      <c r="A313" s="30"/>
      <c r="C313" s="466" t="s">
        <v>92</v>
      </c>
      <c r="D313" s="466"/>
      <c r="E313" s="466"/>
      <c r="F313" s="466"/>
      <c r="G313" s="31" t="str">
        <f>$J$1</f>
        <v>October</v>
      </c>
      <c r="H313" s="467">
        <f>$K$1</f>
        <v>2022</v>
      </c>
      <c r="I313" s="467"/>
      <c r="K313" s="32"/>
      <c r="L313" s="33"/>
      <c r="M313" s="32"/>
      <c r="N313" s="67"/>
      <c r="O313" s="68" t="s">
        <v>55</v>
      </c>
      <c r="P313" s="68" t="s">
        <v>7</v>
      </c>
      <c r="Q313" s="68" t="s">
        <v>6</v>
      </c>
      <c r="R313" s="68" t="s">
        <v>56</v>
      </c>
      <c r="S313" s="69"/>
      <c r="T313" s="68" t="s">
        <v>55</v>
      </c>
      <c r="U313" s="68" t="s">
        <v>57</v>
      </c>
      <c r="V313" s="68" t="s">
        <v>22</v>
      </c>
      <c r="W313" s="68" t="s">
        <v>21</v>
      </c>
      <c r="X313" s="68" t="s">
        <v>23</v>
      </c>
      <c r="Y313" s="68" t="s">
        <v>61</v>
      </c>
      <c r="Z313" s="70"/>
      <c r="AA313" s="32"/>
    </row>
    <row r="314" spans="1:27" s="29" customFormat="1" ht="21" customHeight="1" x14ac:dyDescent="0.2">
      <c r="A314" s="30"/>
      <c r="D314" s="35"/>
      <c r="E314" s="35"/>
      <c r="F314" s="35"/>
      <c r="G314" s="35"/>
      <c r="H314" s="35"/>
      <c r="J314" s="36" t="s">
        <v>1</v>
      </c>
      <c r="K314" s="37">
        <v>30000</v>
      </c>
      <c r="L314" s="38"/>
      <c r="N314" s="71"/>
      <c r="O314" s="72" t="s">
        <v>47</v>
      </c>
      <c r="P314" s="72">
        <v>30</v>
      </c>
      <c r="Q314" s="72">
        <v>1</v>
      </c>
      <c r="R314" s="72">
        <f>15-Q314+10</f>
        <v>24</v>
      </c>
      <c r="S314" s="73"/>
      <c r="T314" s="72" t="s">
        <v>47</v>
      </c>
      <c r="U314" s="74"/>
      <c r="V314" s="74"/>
      <c r="W314" s="74">
        <f>V314+U314</f>
        <v>0</v>
      </c>
      <c r="X314" s="74"/>
      <c r="Y314" s="74">
        <f>W314-X314</f>
        <v>0</v>
      </c>
      <c r="Z314" s="70"/>
    </row>
    <row r="315" spans="1:27" s="29" customFormat="1" ht="21" customHeight="1" x14ac:dyDescent="0.2">
      <c r="A315" s="30"/>
      <c r="B315" s="29" t="s">
        <v>0</v>
      </c>
      <c r="C315" s="40" t="s">
        <v>86</v>
      </c>
      <c r="H315" s="41"/>
      <c r="I315" s="35"/>
      <c r="L315" s="42"/>
      <c r="M315" s="28"/>
      <c r="N315" s="75"/>
      <c r="O315" s="72" t="s">
        <v>73</v>
      </c>
      <c r="P315" s="72">
        <v>22</v>
      </c>
      <c r="Q315" s="72">
        <v>6</v>
      </c>
      <c r="R315" s="72">
        <f t="shared" ref="R315:R325" si="64">IF(Q315="","",R314-Q315)</f>
        <v>18</v>
      </c>
      <c r="S315" s="63"/>
      <c r="T315" s="72" t="s">
        <v>73</v>
      </c>
      <c r="U315" s="109">
        <f t="shared" ref="U315:U320" si="65">Y314</f>
        <v>0</v>
      </c>
      <c r="V315" s="74">
        <v>30000</v>
      </c>
      <c r="W315" s="109">
        <f>IF(U315="","",U315+V315)</f>
        <v>30000</v>
      </c>
      <c r="X315" s="74">
        <v>5000</v>
      </c>
      <c r="Y315" s="109">
        <f>IF(W315="","",W315-X315)</f>
        <v>25000</v>
      </c>
      <c r="Z315" s="76"/>
      <c r="AA315" s="28"/>
    </row>
    <row r="316" spans="1:27" s="29" customFormat="1" ht="21" customHeight="1" x14ac:dyDescent="0.2">
      <c r="A316" s="30"/>
      <c r="B316" s="44" t="s">
        <v>43</v>
      </c>
      <c r="C316" s="45"/>
      <c r="F316" s="468" t="s">
        <v>45</v>
      </c>
      <c r="G316" s="468"/>
      <c r="I316" s="468" t="s">
        <v>46</v>
      </c>
      <c r="J316" s="468"/>
      <c r="K316" s="468"/>
      <c r="L316" s="46"/>
      <c r="N316" s="71"/>
      <c r="O316" s="72" t="s">
        <v>48</v>
      </c>
      <c r="P316" s="72">
        <v>31</v>
      </c>
      <c r="Q316" s="72">
        <v>0</v>
      </c>
      <c r="R316" s="72">
        <f t="shared" si="64"/>
        <v>18</v>
      </c>
      <c r="S316" s="63"/>
      <c r="T316" s="72" t="s">
        <v>48</v>
      </c>
      <c r="U316" s="109">
        <f t="shared" si="65"/>
        <v>25000</v>
      </c>
      <c r="V316" s="74"/>
      <c r="W316" s="109">
        <f t="shared" ref="W316:W325" si="66">IF(U316="","",U316+V316)</f>
        <v>25000</v>
      </c>
      <c r="X316" s="74">
        <v>5000</v>
      </c>
      <c r="Y316" s="109">
        <f t="shared" ref="Y316:Y325" si="67">IF(W316="","",W316-X316)</f>
        <v>20000</v>
      </c>
      <c r="Z316" s="76"/>
    </row>
    <row r="317" spans="1:27" s="29" customFormat="1" ht="21" customHeight="1" x14ac:dyDescent="0.2">
      <c r="A317" s="30"/>
      <c r="H317" s="47"/>
      <c r="L317" s="34"/>
      <c r="N317" s="71"/>
      <c r="O317" s="72" t="s">
        <v>49</v>
      </c>
      <c r="P317" s="72">
        <v>30</v>
      </c>
      <c r="Q317" s="72">
        <v>0</v>
      </c>
      <c r="R317" s="72">
        <f t="shared" si="64"/>
        <v>18</v>
      </c>
      <c r="S317" s="63"/>
      <c r="T317" s="72" t="s">
        <v>49</v>
      </c>
      <c r="U317" s="109">
        <f t="shared" si="65"/>
        <v>20000</v>
      </c>
      <c r="V317" s="74"/>
      <c r="W317" s="109">
        <f t="shared" si="66"/>
        <v>20000</v>
      </c>
      <c r="X317" s="74">
        <v>5000</v>
      </c>
      <c r="Y317" s="109">
        <f t="shared" si="67"/>
        <v>15000</v>
      </c>
      <c r="Z317" s="76"/>
    </row>
    <row r="318" spans="1:27" s="29" customFormat="1" ht="21" customHeight="1" x14ac:dyDescent="0.2">
      <c r="A318" s="30"/>
      <c r="B318" s="472" t="s">
        <v>44</v>
      </c>
      <c r="C318" s="473"/>
      <c r="F318" s="48" t="s">
        <v>66</v>
      </c>
      <c r="G318" s="43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35000</v>
      </c>
      <c r="H318" s="47"/>
      <c r="I318" s="49">
        <f>IF(C322&gt;0,$K$2,C320)</f>
        <v>31</v>
      </c>
      <c r="J318" s="50" t="s">
        <v>63</v>
      </c>
      <c r="K318" s="51">
        <f>K314/$K$2*I318</f>
        <v>30000</v>
      </c>
      <c r="L318" s="52"/>
      <c r="N318" s="71"/>
      <c r="O318" s="72" t="s">
        <v>50</v>
      </c>
      <c r="P318" s="72">
        <v>31</v>
      </c>
      <c r="Q318" s="72">
        <v>0</v>
      </c>
      <c r="R318" s="72">
        <f t="shared" si="64"/>
        <v>18</v>
      </c>
      <c r="S318" s="63"/>
      <c r="T318" s="72" t="s">
        <v>50</v>
      </c>
      <c r="U318" s="109">
        <f t="shared" si="65"/>
        <v>15000</v>
      </c>
      <c r="V318" s="74"/>
      <c r="W318" s="109">
        <f t="shared" si="66"/>
        <v>15000</v>
      </c>
      <c r="X318" s="74">
        <v>5000</v>
      </c>
      <c r="Y318" s="109">
        <f t="shared" si="67"/>
        <v>10000</v>
      </c>
      <c r="Z318" s="76"/>
    </row>
    <row r="319" spans="1:27" s="29" customFormat="1" ht="21" customHeight="1" x14ac:dyDescent="0.2">
      <c r="A319" s="30"/>
      <c r="B319" s="39"/>
      <c r="C319" s="39"/>
      <c r="F319" s="48" t="s">
        <v>22</v>
      </c>
      <c r="G319" s="43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7"/>
      <c r="I319" s="84">
        <v>79</v>
      </c>
      <c r="J319" s="50" t="s">
        <v>64</v>
      </c>
      <c r="K319" s="53">
        <f>K314/$K$2/8*I319</f>
        <v>9556.4516129032254</v>
      </c>
      <c r="L319" s="54"/>
      <c r="N319" s="71"/>
      <c r="O319" s="72" t="s">
        <v>51</v>
      </c>
      <c r="P319" s="72">
        <v>30</v>
      </c>
      <c r="Q319" s="72">
        <v>0</v>
      </c>
      <c r="R319" s="72">
        <f t="shared" si="64"/>
        <v>18</v>
      </c>
      <c r="S319" s="63"/>
      <c r="T319" s="72" t="s">
        <v>51</v>
      </c>
      <c r="U319" s="109">
        <f t="shared" si="65"/>
        <v>10000</v>
      </c>
      <c r="V319" s="74"/>
      <c r="W319" s="109">
        <f t="shared" si="66"/>
        <v>10000</v>
      </c>
      <c r="X319" s="74">
        <v>5000</v>
      </c>
      <c r="Y319" s="109">
        <f t="shared" si="67"/>
        <v>5000</v>
      </c>
      <c r="Z319" s="76"/>
    </row>
    <row r="320" spans="1:27" s="29" customFormat="1" ht="21" customHeight="1" x14ac:dyDescent="0.2">
      <c r="A320" s="30"/>
      <c r="B320" s="48" t="s">
        <v>7</v>
      </c>
      <c r="C320" s="39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27</v>
      </c>
      <c r="F320" s="48" t="s">
        <v>67</v>
      </c>
      <c r="G320" s="43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35000</v>
      </c>
      <c r="H320" s="47"/>
      <c r="I320" s="456" t="s">
        <v>71</v>
      </c>
      <c r="J320" s="457"/>
      <c r="K320" s="53">
        <f>K318+K319</f>
        <v>39556.451612903227</v>
      </c>
      <c r="L320" s="54"/>
      <c r="N320" s="71"/>
      <c r="O320" s="72" t="s">
        <v>52</v>
      </c>
      <c r="P320" s="72">
        <v>29</v>
      </c>
      <c r="Q320" s="72">
        <v>2</v>
      </c>
      <c r="R320" s="72">
        <f t="shared" si="64"/>
        <v>16</v>
      </c>
      <c r="S320" s="63"/>
      <c r="T320" s="72" t="s">
        <v>52</v>
      </c>
      <c r="U320" s="109">
        <f t="shared" si="65"/>
        <v>5000</v>
      </c>
      <c r="V320" s="74"/>
      <c r="W320" s="109">
        <f t="shared" si="66"/>
        <v>5000</v>
      </c>
      <c r="X320" s="74">
        <v>5000</v>
      </c>
      <c r="Y320" s="109">
        <f t="shared" si="67"/>
        <v>0</v>
      </c>
      <c r="Z320" s="76"/>
    </row>
    <row r="321" spans="1:27" s="29" customFormat="1" ht="21" customHeight="1" x14ac:dyDescent="0.2">
      <c r="A321" s="30"/>
      <c r="B321" s="48" t="s">
        <v>6</v>
      </c>
      <c r="C321" s="39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4</v>
      </c>
      <c r="F321" s="48" t="s">
        <v>23</v>
      </c>
      <c r="G321" s="43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7"/>
      <c r="I321" s="456" t="s">
        <v>72</v>
      </c>
      <c r="J321" s="457"/>
      <c r="K321" s="43">
        <f>G321</f>
        <v>5000</v>
      </c>
      <c r="L321" s="55"/>
      <c r="N321" s="71"/>
      <c r="O321" s="72" t="s">
        <v>53</v>
      </c>
      <c r="P321" s="72">
        <v>31</v>
      </c>
      <c r="Q321" s="72">
        <v>0</v>
      </c>
      <c r="R321" s="72">
        <f t="shared" si="64"/>
        <v>16</v>
      </c>
      <c r="S321" s="63"/>
      <c r="T321" s="72" t="s">
        <v>53</v>
      </c>
      <c r="U321" s="109">
        <f>Y320</f>
        <v>0</v>
      </c>
      <c r="V321" s="74"/>
      <c r="W321" s="109">
        <f t="shared" si="66"/>
        <v>0</v>
      </c>
      <c r="X321" s="74"/>
      <c r="Y321" s="109">
        <f t="shared" si="67"/>
        <v>0</v>
      </c>
      <c r="Z321" s="76"/>
    </row>
    <row r="322" spans="1:27" s="29" customFormat="1" ht="21" customHeight="1" x14ac:dyDescent="0.2">
      <c r="A322" s="30"/>
      <c r="B322" s="56" t="s">
        <v>70</v>
      </c>
      <c r="C322" s="39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11</v>
      </c>
      <c r="F322" s="48" t="s">
        <v>69</v>
      </c>
      <c r="G322" s="43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30000</v>
      </c>
      <c r="I322" s="458" t="s">
        <v>65</v>
      </c>
      <c r="J322" s="459"/>
      <c r="K322" s="57">
        <f>K320-K321</f>
        <v>34556.451612903227</v>
      </c>
      <c r="L322" s="58"/>
      <c r="N322" s="71"/>
      <c r="O322" s="72" t="s">
        <v>58</v>
      </c>
      <c r="P322" s="72">
        <v>29</v>
      </c>
      <c r="Q322" s="72">
        <v>1</v>
      </c>
      <c r="R322" s="72">
        <f t="shared" si="64"/>
        <v>15</v>
      </c>
      <c r="S322" s="63"/>
      <c r="T322" s="72" t="s">
        <v>58</v>
      </c>
      <c r="U322" s="109">
        <f>Y321</f>
        <v>0</v>
      </c>
      <c r="V322" s="74">
        <v>40000</v>
      </c>
      <c r="W322" s="109">
        <f t="shared" si="66"/>
        <v>40000</v>
      </c>
      <c r="X322" s="74">
        <v>5000</v>
      </c>
      <c r="Y322" s="109">
        <f t="shared" si="67"/>
        <v>35000</v>
      </c>
      <c r="Z322" s="76"/>
    </row>
    <row r="323" spans="1:27" s="29" customFormat="1" ht="21" customHeight="1" x14ac:dyDescent="0.2">
      <c r="A323" s="30"/>
      <c r="K323" s="113"/>
      <c r="L323" s="46"/>
      <c r="N323" s="71"/>
      <c r="O323" s="72" t="s">
        <v>54</v>
      </c>
      <c r="P323" s="72">
        <v>27</v>
      </c>
      <c r="Q323" s="72">
        <v>4</v>
      </c>
      <c r="R323" s="72">
        <f t="shared" si="64"/>
        <v>11</v>
      </c>
      <c r="S323" s="63"/>
      <c r="T323" s="72" t="s">
        <v>54</v>
      </c>
      <c r="U323" s="109">
        <f>Y322</f>
        <v>35000</v>
      </c>
      <c r="V323" s="74"/>
      <c r="W323" s="109">
        <f t="shared" si="66"/>
        <v>35000</v>
      </c>
      <c r="X323" s="74">
        <v>5000</v>
      </c>
      <c r="Y323" s="109">
        <f t="shared" si="67"/>
        <v>30000</v>
      </c>
      <c r="Z323" s="76"/>
    </row>
    <row r="324" spans="1:27" s="29" customFormat="1" ht="21" customHeight="1" x14ac:dyDescent="0.2">
      <c r="A324" s="30"/>
      <c r="B324" s="455" t="s">
        <v>94</v>
      </c>
      <c r="C324" s="455"/>
      <c r="D324" s="455"/>
      <c r="E324" s="455"/>
      <c r="F324" s="455"/>
      <c r="G324" s="455"/>
      <c r="H324" s="455"/>
      <c r="I324" s="455"/>
      <c r="J324" s="455"/>
      <c r="K324" s="455"/>
      <c r="L324" s="46"/>
      <c r="N324" s="71"/>
      <c r="O324" s="72" t="s">
        <v>59</v>
      </c>
      <c r="P324" s="72"/>
      <c r="Q324" s="72"/>
      <c r="R324" s="72" t="str">
        <f t="shared" si="64"/>
        <v/>
      </c>
      <c r="S324" s="63"/>
      <c r="T324" s="72" t="s">
        <v>59</v>
      </c>
      <c r="U324" s="109"/>
      <c r="V324" s="74"/>
      <c r="W324" s="109" t="str">
        <f t="shared" si="66"/>
        <v/>
      </c>
      <c r="X324" s="74"/>
      <c r="Y324" s="109" t="str">
        <f t="shared" si="67"/>
        <v/>
      </c>
      <c r="Z324" s="76"/>
    </row>
    <row r="325" spans="1:27" s="29" customFormat="1" ht="21" customHeight="1" x14ac:dyDescent="0.2">
      <c r="A325" s="30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6"/>
      <c r="N325" s="71"/>
      <c r="O325" s="72" t="s">
        <v>60</v>
      </c>
      <c r="P325" s="72"/>
      <c r="Q325" s="72"/>
      <c r="R325" s="72" t="str">
        <f t="shared" si="64"/>
        <v/>
      </c>
      <c r="S325" s="63"/>
      <c r="T325" s="72" t="s">
        <v>60</v>
      </c>
      <c r="U325" s="109"/>
      <c r="V325" s="74"/>
      <c r="W325" s="109" t="str">
        <f t="shared" si="66"/>
        <v/>
      </c>
      <c r="X325" s="74"/>
      <c r="Y325" s="109" t="str">
        <f t="shared" si="67"/>
        <v/>
      </c>
      <c r="Z325" s="76"/>
    </row>
    <row r="326" spans="1:27" s="29" customFormat="1" ht="21" customHeight="1" thickBot="1" x14ac:dyDescent="0.25">
      <c r="A326" s="5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1"/>
      <c r="N326" s="77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9"/>
    </row>
    <row r="327" spans="1:27" s="29" customFormat="1" ht="21" customHeight="1" thickBot="1" x14ac:dyDescent="0.25"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7" s="29" customFormat="1" ht="21" customHeight="1" x14ac:dyDescent="0.2">
      <c r="A328" s="460" t="s">
        <v>42</v>
      </c>
      <c r="B328" s="461"/>
      <c r="C328" s="461"/>
      <c r="D328" s="461"/>
      <c r="E328" s="461"/>
      <c r="F328" s="461"/>
      <c r="G328" s="461"/>
      <c r="H328" s="461"/>
      <c r="I328" s="461"/>
      <c r="J328" s="461"/>
      <c r="K328" s="461"/>
      <c r="L328" s="462"/>
      <c r="M328" s="28"/>
      <c r="N328" s="64"/>
      <c r="O328" s="469" t="s">
        <v>44</v>
      </c>
      <c r="P328" s="470"/>
      <c r="Q328" s="470"/>
      <c r="R328" s="471"/>
      <c r="S328" s="65"/>
      <c r="T328" s="469" t="s">
        <v>45</v>
      </c>
      <c r="U328" s="470"/>
      <c r="V328" s="470"/>
      <c r="W328" s="470"/>
      <c r="X328" s="470"/>
      <c r="Y328" s="471"/>
      <c r="Z328" s="66"/>
      <c r="AA328" s="28"/>
    </row>
    <row r="329" spans="1:27" s="29" customFormat="1" ht="21" customHeight="1" x14ac:dyDescent="0.2">
      <c r="A329" s="30"/>
      <c r="C329" s="466" t="s">
        <v>92</v>
      </c>
      <c r="D329" s="466"/>
      <c r="E329" s="466"/>
      <c r="F329" s="466"/>
      <c r="G329" s="31" t="str">
        <f>$J$1</f>
        <v>October</v>
      </c>
      <c r="H329" s="467">
        <f>$K$1</f>
        <v>2022</v>
      </c>
      <c r="I329" s="467"/>
      <c r="K329" s="32"/>
      <c r="L329" s="33"/>
      <c r="M329" s="32"/>
      <c r="N329" s="67"/>
      <c r="O329" s="68" t="s">
        <v>55</v>
      </c>
      <c r="P329" s="68" t="s">
        <v>7</v>
      </c>
      <c r="Q329" s="68" t="s">
        <v>6</v>
      </c>
      <c r="R329" s="68" t="s">
        <v>56</v>
      </c>
      <c r="S329" s="69"/>
      <c r="T329" s="68" t="s">
        <v>55</v>
      </c>
      <c r="U329" s="68" t="s">
        <v>57</v>
      </c>
      <c r="V329" s="68" t="s">
        <v>22</v>
      </c>
      <c r="W329" s="68" t="s">
        <v>21</v>
      </c>
      <c r="X329" s="68" t="s">
        <v>23</v>
      </c>
      <c r="Y329" s="68" t="s">
        <v>61</v>
      </c>
      <c r="Z329" s="70"/>
      <c r="AA329" s="32"/>
    </row>
    <row r="330" spans="1:27" s="29" customFormat="1" ht="21" customHeight="1" x14ac:dyDescent="0.2">
      <c r="A330" s="30"/>
      <c r="D330" s="35"/>
      <c r="E330" s="35"/>
      <c r="F330" s="35"/>
      <c r="G330" s="35"/>
      <c r="H330" s="35"/>
      <c r="J330" s="36" t="s">
        <v>1</v>
      </c>
      <c r="K330" s="37">
        <f>50000+4000</f>
        <v>54000</v>
      </c>
      <c r="L330" s="38"/>
      <c r="N330" s="71"/>
      <c r="O330" s="72" t="s">
        <v>47</v>
      </c>
      <c r="P330" s="72">
        <v>30</v>
      </c>
      <c r="Q330" s="72">
        <v>1</v>
      </c>
      <c r="R330" s="72">
        <f>15-Q330+23</f>
        <v>37</v>
      </c>
      <c r="S330" s="73"/>
      <c r="T330" s="72" t="s">
        <v>47</v>
      </c>
      <c r="U330" s="74">
        <v>168200</v>
      </c>
      <c r="V330" s="74"/>
      <c r="W330" s="74">
        <f>V330+U330</f>
        <v>168200</v>
      </c>
      <c r="X330" s="74">
        <v>5000</v>
      </c>
      <c r="Y330" s="74">
        <f>W330-X330</f>
        <v>163200</v>
      </c>
      <c r="Z330" s="70"/>
    </row>
    <row r="331" spans="1:27" s="29" customFormat="1" ht="21" customHeight="1" x14ac:dyDescent="0.2">
      <c r="A331" s="30"/>
      <c r="B331" s="29" t="s">
        <v>0</v>
      </c>
      <c r="C331" s="40" t="s">
        <v>79</v>
      </c>
      <c r="H331" s="41"/>
      <c r="I331" s="35"/>
      <c r="L331" s="42"/>
      <c r="M331" s="28"/>
      <c r="N331" s="75"/>
      <c r="O331" s="72" t="s">
        <v>73</v>
      </c>
      <c r="P331" s="72">
        <v>27</v>
      </c>
      <c r="Q331" s="72">
        <v>1</v>
      </c>
      <c r="R331" s="72">
        <f t="shared" ref="R331:R341" si="68">IF(Q331="","",R330-Q331)</f>
        <v>36</v>
      </c>
      <c r="S331" s="63"/>
      <c r="T331" s="72" t="s">
        <v>73</v>
      </c>
      <c r="U331" s="109">
        <f t="shared" ref="U331:U336" si="69">Y330</f>
        <v>163200</v>
      </c>
      <c r="V331" s="74"/>
      <c r="W331" s="109">
        <f>IF(U331="","",U331+V331)</f>
        <v>163200</v>
      </c>
      <c r="X331" s="74">
        <v>5000</v>
      </c>
      <c r="Y331" s="109">
        <f>IF(W331="","",W331-X331)</f>
        <v>158200</v>
      </c>
      <c r="Z331" s="76"/>
      <c r="AA331" s="28"/>
    </row>
    <row r="332" spans="1:27" s="29" customFormat="1" ht="21" customHeight="1" x14ac:dyDescent="0.2">
      <c r="A332" s="30"/>
      <c r="B332" s="44" t="s">
        <v>43</v>
      </c>
      <c r="C332" s="45"/>
      <c r="F332" s="468" t="s">
        <v>45</v>
      </c>
      <c r="G332" s="468"/>
      <c r="I332" s="468" t="s">
        <v>46</v>
      </c>
      <c r="J332" s="468"/>
      <c r="K332" s="468"/>
      <c r="L332" s="46"/>
      <c r="N332" s="71"/>
      <c r="O332" s="72" t="s">
        <v>48</v>
      </c>
      <c r="P332" s="72">
        <v>31</v>
      </c>
      <c r="Q332" s="72">
        <v>0</v>
      </c>
      <c r="R332" s="72">
        <f t="shared" si="68"/>
        <v>36</v>
      </c>
      <c r="S332" s="63"/>
      <c r="T332" s="72" t="s">
        <v>48</v>
      </c>
      <c r="U332" s="109">
        <f t="shared" si="69"/>
        <v>158200</v>
      </c>
      <c r="V332" s="74"/>
      <c r="W332" s="109">
        <f t="shared" ref="W332:W341" si="70">IF(U332="","",U332+V332)</f>
        <v>158200</v>
      </c>
      <c r="X332" s="74">
        <v>5000</v>
      </c>
      <c r="Y332" s="109">
        <f t="shared" ref="Y332:Y341" si="71">IF(W332="","",W332-X332)</f>
        <v>153200</v>
      </c>
      <c r="Z332" s="76"/>
    </row>
    <row r="333" spans="1:27" s="29" customFormat="1" ht="21" customHeight="1" x14ac:dyDescent="0.2">
      <c r="A333" s="30"/>
      <c r="H333" s="47"/>
      <c r="L333" s="34"/>
      <c r="N333" s="71"/>
      <c r="O333" s="72" t="s">
        <v>49</v>
      </c>
      <c r="P333" s="72">
        <v>30</v>
      </c>
      <c r="Q333" s="72">
        <v>0</v>
      </c>
      <c r="R333" s="72">
        <f t="shared" si="68"/>
        <v>36</v>
      </c>
      <c r="S333" s="63"/>
      <c r="T333" s="72" t="s">
        <v>49</v>
      </c>
      <c r="U333" s="109">
        <f t="shared" si="69"/>
        <v>153200</v>
      </c>
      <c r="V333" s="74"/>
      <c r="W333" s="109">
        <f t="shared" si="70"/>
        <v>153200</v>
      </c>
      <c r="X333" s="74">
        <v>5000</v>
      </c>
      <c r="Y333" s="109">
        <f t="shared" si="71"/>
        <v>148200</v>
      </c>
      <c r="Z333" s="76"/>
    </row>
    <row r="334" spans="1:27" s="29" customFormat="1" ht="21" customHeight="1" x14ac:dyDescent="0.2">
      <c r="A334" s="30"/>
      <c r="B334" s="472" t="s">
        <v>44</v>
      </c>
      <c r="C334" s="473"/>
      <c r="F334" s="48" t="s">
        <v>66</v>
      </c>
      <c r="G334" s="116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123200</v>
      </c>
      <c r="H334" s="47"/>
      <c r="I334" s="49">
        <f>IF(C338&gt;=C337,$K$2,C336+C338)</f>
        <v>31</v>
      </c>
      <c r="J334" s="50" t="s">
        <v>63</v>
      </c>
      <c r="K334" s="51">
        <f>K330/$K$2*I334</f>
        <v>54000</v>
      </c>
      <c r="L334" s="52"/>
      <c r="N334" s="71"/>
      <c r="O334" s="72" t="s">
        <v>50</v>
      </c>
      <c r="P334" s="72">
        <v>29</v>
      </c>
      <c r="Q334" s="72">
        <v>2</v>
      </c>
      <c r="R334" s="72">
        <f t="shared" si="68"/>
        <v>34</v>
      </c>
      <c r="S334" s="63"/>
      <c r="T334" s="72" t="s">
        <v>50</v>
      </c>
      <c r="U334" s="109">
        <f t="shared" si="69"/>
        <v>148200</v>
      </c>
      <c r="V334" s="74"/>
      <c r="W334" s="109">
        <f t="shared" si="70"/>
        <v>148200</v>
      </c>
      <c r="X334" s="74">
        <v>5000</v>
      </c>
      <c r="Y334" s="109">
        <f t="shared" si="71"/>
        <v>143200</v>
      </c>
      <c r="Z334" s="76"/>
    </row>
    <row r="335" spans="1:27" s="29" customFormat="1" ht="21" customHeight="1" x14ac:dyDescent="0.2">
      <c r="A335" s="30"/>
      <c r="B335" s="39"/>
      <c r="C335" s="39"/>
      <c r="F335" s="48" t="s">
        <v>22</v>
      </c>
      <c r="G335" s="116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7"/>
      <c r="I335" s="49">
        <v>14</v>
      </c>
      <c r="J335" s="50" t="s">
        <v>64</v>
      </c>
      <c r="K335" s="53">
        <f>K330/$K$2/8*I335</f>
        <v>3048.3870967741937</v>
      </c>
      <c r="L335" s="54"/>
      <c r="N335" s="71"/>
      <c r="O335" s="72" t="s">
        <v>51</v>
      </c>
      <c r="P335" s="72">
        <v>28</v>
      </c>
      <c r="Q335" s="72">
        <v>2</v>
      </c>
      <c r="R335" s="72">
        <f t="shared" si="68"/>
        <v>32</v>
      </c>
      <c r="S335" s="63"/>
      <c r="T335" s="72" t="s">
        <v>51</v>
      </c>
      <c r="U335" s="109">
        <f t="shared" si="69"/>
        <v>143200</v>
      </c>
      <c r="V335" s="74"/>
      <c r="W335" s="109">
        <f t="shared" si="70"/>
        <v>143200</v>
      </c>
      <c r="X335" s="74">
        <v>5000</v>
      </c>
      <c r="Y335" s="109">
        <f t="shared" si="71"/>
        <v>138200</v>
      </c>
      <c r="Z335" s="76"/>
    </row>
    <row r="336" spans="1:27" s="29" customFormat="1" ht="21" customHeight="1" x14ac:dyDescent="0.2">
      <c r="A336" s="30"/>
      <c r="B336" s="48" t="s">
        <v>7</v>
      </c>
      <c r="C336" s="39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31</v>
      </c>
      <c r="F336" s="48" t="s">
        <v>67</v>
      </c>
      <c r="G336" s="116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123200</v>
      </c>
      <c r="H336" s="47"/>
      <c r="I336" s="456" t="s">
        <v>71</v>
      </c>
      <c r="J336" s="457"/>
      <c r="K336" s="53">
        <f>K334+K335</f>
        <v>57048.387096774197</v>
      </c>
      <c r="L336" s="54"/>
      <c r="N336" s="71"/>
      <c r="O336" s="72" t="s">
        <v>52</v>
      </c>
      <c r="P336" s="72">
        <v>31</v>
      </c>
      <c r="Q336" s="72">
        <v>0</v>
      </c>
      <c r="R336" s="72">
        <f t="shared" si="68"/>
        <v>32</v>
      </c>
      <c r="S336" s="63"/>
      <c r="T336" s="72" t="s">
        <v>52</v>
      </c>
      <c r="U336" s="109">
        <f t="shared" si="69"/>
        <v>138200</v>
      </c>
      <c r="V336" s="74"/>
      <c r="W336" s="109">
        <f t="shared" si="70"/>
        <v>138200</v>
      </c>
      <c r="X336" s="74">
        <v>5000</v>
      </c>
      <c r="Y336" s="109">
        <f t="shared" si="71"/>
        <v>133200</v>
      </c>
      <c r="Z336" s="76"/>
    </row>
    <row r="337" spans="1:27" s="29" customFormat="1" ht="21" customHeight="1" x14ac:dyDescent="0.2">
      <c r="A337" s="30"/>
      <c r="B337" s="48" t="s">
        <v>6</v>
      </c>
      <c r="C337" s="39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0</v>
      </c>
      <c r="F337" s="48" t="s">
        <v>23</v>
      </c>
      <c r="G337" s="116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7"/>
      <c r="I337" s="456" t="s">
        <v>72</v>
      </c>
      <c r="J337" s="457"/>
      <c r="K337" s="43">
        <f>G337</f>
        <v>5000</v>
      </c>
      <c r="L337" s="55"/>
      <c r="N337" s="71"/>
      <c r="O337" s="72" t="s">
        <v>53</v>
      </c>
      <c r="P337" s="72">
        <v>31</v>
      </c>
      <c r="Q337" s="72">
        <v>0</v>
      </c>
      <c r="R337" s="72">
        <f t="shared" si="68"/>
        <v>32</v>
      </c>
      <c r="S337" s="63"/>
      <c r="T337" s="72" t="s">
        <v>53</v>
      </c>
      <c r="U337" s="109">
        <f>Y336</f>
        <v>133200</v>
      </c>
      <c r="V337" s="74"/>
      <c r="W337" s="109">
        <f t="shared" si="70"/>
        <v>133200</v>
      </c>
      <c r="X337" s="74">
        <v>5000</v>
      </c>
      <c r="Y337" s="109">
        <f t="shared" si="71"/>
        <v>128200</v>
      </c>
      <c r="Z337" s="76"/>
    </row>
    <row r="338" spans="1:27" s="29" customFormat="1" ht="21" customHeight="1" x14ac:dyDescent="0.2">
      <c r="A338" s="30"/>
      <c r="B338" s="56" t="s">
        <v>70</v>
      </c>
      <c r="C338" s="39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32</v>
      </c>
      <c r="F338" s="48" t="s">
        <v>69</v>
      </c>
      <c r="G338" s="116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118200</v>
      </c>
      <c r="I338" s="458" t="s">
        <v>65</v>
      </c>
      <c r="J338" s="459"/>
      <c r="K338" s="57">
        <f>K336-K337</f>
        <v>52048.387096774197</v>
      </c>
      <c r="L338" s="58"/>
      <c r="N338" s="71"/>
      <c r="O338" s="72" t="s">
        <v>58</v>
      </c>
      <c r="P338" s="72">
        <v>30</v>
      </c>
      <c r="Q338" s="72">
        <v>0</v>
      </c>
      <c r="R338" s="72">
        <f t="shared" si="68"/>
        <v>32</v>
      </c>
      <c r="S338" s="63"/>
      <c r="T338" s="72" t="s">
        <v>58</v>
      </c>
      <c r="U338" s="109">
        <f>Y337</f>
        <v>128200</v>
      </c>
      <c r="V338" s="74"/>
      <c r="W338" s="109">
        <f t="shared" si="70"/>
        <v>128200</v>
      </c>
      <c r="X338" s="74">
        <v>5000</v>
      </c>
      <c r="Y338" s="109">
        <f t="shared" si="71"/>
        <v>123200</v>
      </c>
      <c r="Z338" s="76"/>
    </row>
    <row r="339" spans="1:27" s="29" customFormat="1" ht="21" customHeight="1" x14ac:dyDescent="0.2">
      <c r="A339" s="30"/>
      <c r="F339" s="370"/>
      <c r="L339" s="46"/>
      <c r="N339" s="71"/>
      <c r="O339" s="72" t="s">
        <v>54</v>
      </c>
      <c r="P339" s="72">
        <v>31</v>
      </c>
      <c r="Q339" s="72">
        <v>0</v>
      </c>
      <c r="R339" s="72">
        <f t="shared" si="68"/>
        <v>32</v>
      </c>
      <c r="S339" s="63"/>
      <c r="T339" s="72" t="s">
        <v>54</v>
      </c>
      <c r="U339" s="109">
        <f>Y338</f>
        <v>123200</v>
      </c>
      <c r="V339" s="74"/>
      <c r="W339" s="109">
        <f t="shared" si="70"/>
        <v>123200</v>
      </c>
      <c r="X339" s="74">
        <v>5000</v>
      </c>
      <c r="Y339" s="109">
        <f t="shared" si="71"/>
        <v>118200</v>
      </c>
      <c r="Z339" s="76"/>
    </row>
    <row r="340" spans="1:27" s="29" customFormat="1" ht="21" customHeight="1" x14ac:dyDescent="0.2">
      <c r="A340" s="30"/>
      <c r="B340" s="455" t="s">
        <v>94</v>
      </c>
      <c r="C340" s="455"/>
      <c r="D340" s="455"/>
      <c r="E340" s="455"/>
      <c r="F340" s="455"/>
      <c r="G340" s="455"/>
      <c r="H340" s="455"/>
      <c r="I340" s="455"/>
      <c r="J340" s="455"/>
      <c r="K340" s="455"/>
      <c r="L340" s="46"/>
      <c r="N340" s="71"/>
      <c r="O340" s="72" t="s">
        <v>59</v>
      </c>
      <c r="P340" s="72"/>
      <c r="Q340" s="72"/>
      <c r="R340" s="72" t="str">
        <f t="shared" si="68"/>
        <v/>
      </c>
      <c r="S340" s="63"/>
      <c r="T340" s="72" t="s">
        <v>59</v>
      </c>
      <c r="U340" s="109"/>
      <c r="V340" s="74"/>
      <c r="W340" s="109" t="str">
        <f t="shared" si="70"/>
        <v/>
      </c>
      <c r="X340" s="74"/>
      <c r="Y340" s="109" t="str">
        <f t="shared" si="71"/>
        <v/>
      </c>
      <c r="Z340" s="76"/>
    </row>
    <row r="341" spans="1:27" s="29" customFormat="1" ht="21" customHeight="1" x14ac:dyDescent="0.2">
      <c r="A341" s="30"/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6"/>
      <c r="N341" s="71"/>
      <c r="O341" s="72" t="s">
        <v>60</v>
      </c>
      <c r="P341" s="72"/>
      <c r="Q341" s="72"/>
      <c r="R341" s="72" t="str">
        <f t="shared" si="68"/>
        <v/>
      </c>
      <c r="S341" s="63"/>
      <c r="T341" s="72" t="s">
        <v>60</v>
      </c>
      <c r="U341" s="109"/>
      <c r="V341" s="74"/>
      <c r="W341" s="109" t="str">
        <f t="shared" si="70"/>
        <v/>
      </c>
      <c r="X341" s="74"/>
      <c r="Y341" s="109" t="str">
        <f t="shared" si="71"/>
        <v/>
      </c>
      <c r="Z341" s="76"/>
    </row>
    <row r="342" spans="1:27" s="29" customFormat="1" ht="21" customHeight="1" thickBot="1" x14ac:dyDescent="0.25">
      <c r="A342" s="5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1"/>
      <c r="N342" s="77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9"/>
    </row>
    <row r="343" spans="1:27" s="29" customFormat="1" ht="21" customHeight="1" thickBot="1" x14ac:dyDescent="0.25"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7" s="29" customFormat="1" ht="21" customHeight="1" x14ac:dyDescent="0.2">
      <c r="A344" s="460" t="s">
        <v>42</v>
      </c>
      <c r="B344" s="461"/>
      <c r="C344" s="461"/>
      <c r="D344" s="461"/>
      <c r="E344" s="461"/>
      <c r="F344" s="461"/>
      <c r="G344" s="461"/>
      <c r="H344" s="461"/>
      <c r="I344" s="461"/>
      <c r="J344" s="461"/>
      <c r="K344" s="461"/>
      <c r="L344" s="462"/>
      <c r="M344" s="28"/>
      <c r="N344" s="64"/>
      <c r="O344" s="469" t="s">
        <v>44</v>
      </c>
      <c r="P344" s="470"/>
      <c r="Q344" s="470"/>
      <c r="R344" s="471"/>
      <c r="S344" s="65"/>
      <c r="T344" s="469" t="s">
        <v>45</v>
      </c>
      <c r="U344" s="470"/>
      <c r="V344" s="470"/>
      <c r="W344" s="470"/>
      <c r="X344" s="470"/>
      <c r="Y344" s="471"/>
      <c r="Z344" s="66"/>
      <c r="AA344" s="28"/>
    </row>
    <row r="345" spans="1:27" s="29" customFormat="1" ht="21" customHeight="1" x14ac:dyDescent="0.2">
      <c r="A345" s="30"/>
      <c r="C345" s="466" t="s">
        <v>92</v>
      </c>
      <c r="D345" s="466"/>
      <c r="E345" s="466"/>
      <c r="F345" s="466"/>
      <c r="G345" s="31" t="str">
        <f>$J$1</f>
        <v>October</v>
      </c>
      <c r="H345" s="467">
        <f>$K$1</f>
        <v>2022</v>
      </c>
      <c r="I345" s="467"/>
      <c r="K345" s="32"/>
      <c r="L345" s="33"/>
      <c r="M345" s="32"/>
      <c r="N345" s="67"/>
      <c r="O345" s="68" t="s">
        <v>55</v>
      </c>
      <c r="P345" s="68" t="s">
        <v>7</v>
      </c>
      <c r="Q345" s="68" t="s">
        <v>6</v>
      </c>
      <c r="R345" s="68" t="s">
        <v>56</v>
      </c>
      <c r="S345" s="69"/>
      <c r="T345" s="68" t="s">
        <v>55</v>
      </c>
      <c r="U345" s="68" t="s">
        <v>57</v>
      </c>
      <c r="V345" s="68" t="s">
        <v>22</v>
      </c>
      <c r="W345" s="68" t="s">
        <v>21</v>
      </c>
      <c r="X345" s="68" t="s">
        <v>23</v>
      </c>
      <c r="Y345" s="68" t="s">
        <v>61</v>
      </c>
      <c r="Z345" s="70"/>
      <c r="AA345" s="32"/>
    </row>
    <row r="346" spans="1:27" s="29" customFormat="1" ht="21" customHeight="1" x14ac:dyDescent="0.2">
      <c r="A346" s="30"/>
      <c r="D346" s="35"/>
      <c r="E346" s="35"/>
      <c r="F346" s="35"/>
      <c r="G346" s="35"/>
      <c r="H346" s="35"/>
      <c r="J346" s="36" t="s">
        <v>1</v>
      </c>
      <c r="K346" s="37">
        <f>24000+3000</f>
        <v>27000</v>
      </c>
      <c r="L346" s="38"/>
      <c r="N346" s="71"/>
      <c r="O346" s="72" t="s">
        <v>47</v>
      </c>
      <c r="P346" s="72">
        <v>29</v>
      </c>
      <c r="Q346" s="72">
        <v>2</v>
      </c>
      <c r="R346" s="72">
        <f>15-Q346</f>
        <v>13</v>
      </c>
      <c r="S346" s="73"/>
      <c r="T346" s="72" t="s">
        <v>47</v>
      </c>
      <c r="U346" s="74">
        <v>31000</v>
      </c>
      <c r="V346" s="74"/>
      <c r="W346" s="74">
        <f>V346+U346</f>
        <v>31000</v>
      </c>
      <c r="X346" s="74">
        <v>5000</v>
      </c>
      <c r="Y346" s="74">
        <f>W346-X346</f>
        <v>26000</v>
      </c>
      <c r="Z346" s="70"/>
    </row>
    <row r="347" spans="1:27" s="29" customFormat="1" ht="21" customHeight="1" x14ac:dyDescent="0.2">
      <c r="A347" s="30"/>
      <c r="B347" s="29" t="s">
        <v>0</v>
      </c>
      <c r="C347" s="40" t="s">
        <v>80</v>
      </c>
      <c r="H347" s="41"/>
      <c r="I347" s="35"/>
      <c r="L347" s="42"/>
      <c r="M347" s="28"/>
      <c r="N347" s="75"/>
      <c r="O347" s="72" t="s">
        <v>73</v>
      </c>
      <c r="P347" s="72">
        <v>28</v>
      </c>
      <c r="Q347" s="72">
        <v>0</v>
      </c>
      <c r="R347" s="72">
        <f t="shared" ref="R347:R357" si="72">IF(Q347="","",R346-Q347)</f>
        <v>13</v>
      </c>
      <c r="S347" s="63"/>
      <c r="T347" s="72" t="s">
        <v>73</v>
      </c>
      <c r="U347" s="109">
        <f t="shared" ref="U347:U352" si="73">Y346</f>
        <v>26000</v>
      </c>
      <c r="V347" s="74"/>
      <c r="W347" s="109">
        <f>IF(U347="","",U347+V347)</f>
        <v>26000</v>
      </c>
      <c r="X347" s="74">
        <v>5000</v>
      </c>
      <c r="Y347" s="109">
        <f>IF(W347="","",W347-X347)</f>
        <v>21000</v>
      </c>
      <c r="Z347" s="76"/>
      <c r="AA347" s="28"/>
    </row>
    <row r="348" spans="1:27" s="29" customFormat="1" ht="21" customHeight="1" x14ac:dyDescent="0.2">
      <c r="A348" s="30"/>
      <c r="B348" s="44" t="s">
        <v>43</v>
      </c>
      <c r="C348" s="45"/>
      <c r="F348" s="468" t="s">
        <v>45</v>
      </c>
      <c r="G348" s="468"/>
      <c r="I348" s="468" t="s">
        <v>46</v>
      </c>
      <c r="J348" s="468"/>
      <c r="K348" s="468"/>
      <c r="L348" s="46"/>
      <c r="N348" s="71"/>
      <c r="O348" s="72" t="s">
        <v>48</v>
      </c>
      <c r="P348" s="72">
        <v>30</v>
      </c>
      <c r="Q348" s="72">
        <v>1</v>
      </c>
      <c r="R348" s="72">
        <f t="shared" si="72"/>
        <v>12</v>
      </c>
      <c r="S348" s="63"/>
      <c r="T348" s="72" t="s">
        <v>48</v>
      </c>
      <c r="U348" s="109">
        <f t="shared" si="73"/>
        <v>21000</v>
      </c>
      <c r="V348" s="74"/>
      <c r="W348" s="109">
        <f t="shared" ref="W348:W357" si="74">IF(U348="","",U348+V348)</f>
        <v>21000</v>
      </c>
      <c r="X348" s="74">
        <v>5000</v>
      </c>
      <c r="Y348" s="109">
        <f t="shared" ref="Y348:Y357" si="75">IF(W348="","",W348-X348)</f>
        <v>16000</v>
      </c>
      <c r="Z348" s="76"/>
    </row>
    <row r="349" spans="1:27" s="29" customFormat="1" ht="21" customHeight="1" x14ac:dyDescent="0.2">
      <c r="A349" s="30"/>
      <c r="H349" s="47"/>
      <c r="L349" s="34"/>
      <c r="N349" s="71"/>
      <c r="O349" s="72" t="s">
        <v>49</v>
      </c>
      <c r="P349" s="72">
        <v>28</v>
      </c>
      <c r="Q349" s="72">
        <v>2</v>
      </c>
      <c r="R349" s="72">
        <f t="shared" si="72"/>
        <v>10</v>
      </c>
      <c r="S349" s="63"/>
      <c r="T349" s="72" t="s">
        <v>49</v>
      </c>
      <c r="U349" s="109">
        <f t="shared" si="73"/>
        <v>16000</v>
      </c>
      <c r="V349" s="74">
        <f>20000+10000-12000</f>
        <v>18000</v>
      </c>
      <c r="W349" s="109">
        <f t="shared" si="74"/>
        <v>34000</v>
      </c>
      <c r="X349" s="74"/>
      <c r="Y349" s="109">
        <f t="shared" si="75"/>
        <v>34000</v>
      </c>
      <c r="Z349" s="76"/>
    </row>
    <row r="350" spans="1:27" s="29" customFormat="1" ht="21" customHeight="1" x14ac:dyDescent="0.2">
      <c r="A350" s="30"/>
      <c r="B350" s="472" t="s">
        <v>44</v>
      </c>
      <c r="C350" s="473"/>
      <c r="F350" s="48" t="s">
        <v>66</v>
      </c>
      <c r="G350" s="43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71500</v>
      </c>
      <c r="H350" s="47"/>
      <c r="I350" s="49">
        <f>IF(C354&gt;0,$K$2,C352)</f>
        <v>26</v>
      </c>
      <c r="J350" s="50" t="s">
        <v>63</v>
      </c>
      <c r="K350" s="51">
        <f>K346/$K$2*I350</f>
        <v>22645.161290322583</v>
      </c>
      <c r="L350" s="52"/>
      <c r="N350" s="71"/>
      <c r="O350" s="72" t="s">
        <v>50</v>
      </c>
      <c r="P350" s="72">
        <v>26</v>
      </c>
      <c r="Q350" s="72">
        <v>5</v>
      </c>
      <c r="R350" s="72">
        <f t="shared" si="72"/>
        <v>5</v>
      </c>
      <c r="S350" s="63"/>
      <c r="T350" s="72" t="s">
        <v>50</v>
      </c>
      <c r="U350" s="109">
        <f t="shared" si="73"/>
        <v>34000</v>
      </c>
      <c r="V350" s="74"/>
      <c r="W350" s="109">
        <f t="shared" si="74"/>
        <v>34000</v>
      </c>
      <c r="X350" s="74">
        <v>5000</v>
      </c>
      <c r="Y350" s="109">
        <f t="shared" si="75"/>
        <v>29000</v>
      </c>
      <c r="Z350" s="76"/>
    </row>
    <row r="351" spans="1:27" s="29" customFormat="1" ht="21" customHeight="1" x14ac:dyDescent="0.2">
      <c r="A351" s="30"/>
      <c r="B351" s="39"/>
      <c r="C351" s="39"/>
      <c r="F351" s="48" t="s">
        <v>22</v>
      </c>
      <c r="G351" s="115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7"/>
      <c r="I351" s="84">
        <v>8</v>
      </c>
      <c r="J351" s="50" t="s">
        <v>64</v>
      </c>
      <c r="K351" s="53">
        <f>K346/$K$2/8*I351</f>
        <v>870.9677419354839</v>
      </c>
      <c r="L351" s="54"/>
      <c r="N351" s="71"/>
      <c r="O351" s="72" t="s">
        <v>51</v>
      </c>
      <c r="P351" s="72">
        <v>29</v>
      </c>
      <c r="Q351" s="72">
        <v>1</v>
      </c>
      <c r="R351" s="72">
        <f t="shared" si="72"/>
        <v>4</v>
      </c>
      <c r="S351" s="63"/>
      <c r="T351" s="72" t="s">
        <v>51</v>
      </c>
      <c r="U351" s="109">
        <f t="shared" si="73"/>
        <v>29000</v>
      </c>
      <c r="V351" s="74">
        <v>10000</v>
      </c>
      <c r="W351" s="109">
        <f t="shared" si="74"/>
        <v>39000</v>
      </c>
      <c r="X351" s="74">
        <v>5000</v>
      </c>
      <c r="Y351" s="109">
        <f t="shared" si="75"/>
        <v>34000</v>
      </c>
      <c r="Z351" s="76"/>
    </row>
    <row r="352" spans="1:27" s="29" customFormat="1" ht="21" customHeight="1" x14ac:dyDescent="0.2">
      <c r="A352" s="30"/>
      <c r="B352" s="48" t="s">
        <v>7</v>
      </c>
      <c r="C352" s="39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26</v>
      </c>
      <c r="F352" s="48" t="s">
        <v>67</v>
      </c>
      <c r="G352" s="115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71500</v>
      </c>
      <c r="H352" s="47"/>
      <c r="I352" s="456" t="s">
        <v>71</v>
      </c>
      <c r="J352" s="457"/>
      <c r="K352" s="53">
        <f>K350+K351</f>
        <v>23516.129032258068</v>
      </c>
      <c r="L352" s="54"/>
      <c r="N352" s="71"/>
      <c r="O352" s="72" t="s">
        <v>52</v>
      </c>
      <c r="P352" s="72">
        <v>26</v>
      </c>
      <c r="Q352" s="72">
        <v>5</v>
      </c>
      <c r="R352" s="72">
        <v>0</v>
      </c>
      <c r="S352" s="63"/>
      <c r="T352" s="72" t="s">
        <v>52</v>
      </c>
      <c r="U352" s="109">
        <f t="shared" si="73"/>
        <v>34000</v>
      </c>
      <c r="V352" s="74">
        <f>2000+3000</f>
        <v>5000</v>
      </c>
      <c r="W352" s="109">
        <f t="shared" si="74"/>
        <v>39000</v>
      </c>
      <c r="X352" s="74">
        <v>5000</v>
      </c>
      <c r="Y352" s="109">
        <f t="shared" si="75"/>
        <v>34000</v>
      </c>
      <c r="Z352" s="76"/>
    </row>
    <row r="353" spans="1:26" s="29" customFormat="1" ht="21" customHeight="1" x14ac:dyDescent="0.2">
      <c r="A353" s="30"/>
      <c r="B353" s="48" t="s">
        <v>6</v>
      </c>
      <c r="C353" s="39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5</v>
      </c>
      <c r="F353" s="48" t="s">
        <v>23</v>
      </c>
      <c r="G353" s="115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3000</v>
      </c>
      <c r="H353" s="47"/>
      <c r="I353" s="456" t="s">
        <v>72</v>
      </c>
      <c r="J353" s="457"/>
      <c r="K353" s="43">
        <f>G353</f>
        <v>3000</v>
      </c>
      <c r="L353" s="55"/>
      <c r="N353" s="71"/>
      <c r="O353" s="72" t="s">
        <v>53</v>
      </c>
      <c r="P353" s="72">
        <v>30</v>
      </c>
      <c r="Q353" s="72">
        <v>1</v>
      </c>
      <c r="R353" s="72">
        <v>0</v>
      </c>
      <c r="S353" s="63"/>
      <c r="T353" s="72" t="s">
        <v>53</v>
      </c>
      <c r="U353" s="109">
        <f>Y352</f>
        <v>34000</v>
      </c>
      <c r="V353" s="74">
        <v>3500</v>
      </c>
      <c r="W353" s="109">
        <f t="shared" si="74"/>
        <v>37500</v>
      </c>
      <c r="X353" s="74">
        <v>7000</v>
      </c>
      <c r="Y353" s="109">
        <f t="shared" si="75"/>
        <v>30500</v>
      </c>
      <c r="Z353" s="76"/>
    </row>
    <row r="354" spans="1:26" s="29" customFormat="1" ht="21" customHeight="1" x14ac:dyDescent="0.2">
      <c r="A354" s="30"/>
      <c r="B354" s="56" t="s">
        <v>70</v>
      </c>
      <c r="C354" s="39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F354" s="48" t="s">
        <v>69</v>
      </c>
      <c r="G354" s="115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68500</v>
      </c>
      <c r="I354" s="458" t="s">
        <v>65</v>
      </c>
      <c r="J354" s="459"/>
      <c r="K354" s="57">
        <f>K352-K353</f>
        <v>20516.129032258068</v>
      </c>
      <c r="L354" s="58"/>
      <c r="N354" s="71"/>
      <c r="O354" s="72" t="s">
        <v>58</v>
      </c>
      <c r="P354" s="72">
        <v>28</v>
      </c>
      <c r="Q354" s="72">
        <v>2</v>
      </c>
      <c r="R354" s="72">
        <v>0</v>
      </c>
      <c r="S354" s="63"/>
      <c r="T354" s="72" t="s">
        <v>58</v>
      </c>
      <c r="U354" s="109">
        <f>Y353</f>
        <v>30500</v>
      </c>
      <c r="V354" s="74">
        <f>1000+40000</f>
        <v>41000</v>
      </c>
      <c r="W354" s="109">
        <f t="shared" si="74"/>
        <v>71500</v>
      </c>
      <c r="X354" s="74"/>
      <c r="Y354" s="109">
        <f t="shared" si="75"/>
        <v>71500</v>
      </c>
      <c r="Z354" s="76"/>
    </row>
    <row r="355" spans="1:26" s="29" customFormat="1" ht="21" customHeight="1" x14ac:dyDescent="0.2">
      <c r="A355" s="30"/>
      <c r="J355" s="113"/>
      <c r="K355" s="113"/>
      <c r="L355" s="46"/>
      <c r="N355" s="71"/>
      <c r="O355" s="72" t="s">
        <v>54</v>
      </c>
      <c r="P355" s="72">
        <v>26</v>
      </c>
      <c r="Q355" s="72">
        <v>5</v>
      </c>
      <c r="R355" s="72">
        <v>0</v>
      </c>
      <c r="S355" s="63">
        <v>0</v>
      </c>
      <c r="T355" s="72" t="s">
        <v>54</v>
      </c>
      <c r="U355" s="109">
        <f>Y354</f>
        <v>71500</v>
      </c>
      <c r="V355" s="74"/>
      <c r="W355" s="109">
        <f t="shared" si="74"/>
        <v>71500</v>
      </c>
      <c r="X355" s="74">
        <v>3000</v>
      </c>
      <c r="Y355" s="109">
        <f t="shared" si="75"/>
        <v>68500</v>
      </c>
      <c r="Z355" s="76"/>
    </row>
    <row r="356" spans="1:26" s="29" customFormat="1" ht="21" customHeight="1" x14ac:dyDescent="0.2">
      <c r="A356" s="30"/>
      <c r="B356" s="455" t="s">
        <v>94</v>
      </c>
      <c r="C356" s="455"/>
      <c r="D356" s="455"/>
      <c r="E356" s="455"/>
      <c r="F356" s="455"/>
      <c r="G356" s="455"/>
      <c r="H356" s="455"/>
      <c r="I356" s="455"/>
      <c r="J356" s="455"/>
      <c r="K356" s="455"/>
      <c r="L356" s="46"/>
      <c r="N356" s="71"/>
      <c r="O356" s="72" t="s">
        <v>59</v>
      </c>
      <c r="P356" s="72"/>
      <c r="Q356" s="72"/>
      <c r="R356" s="72" t="str">
        <f t="shared" si="72"/>
        <v/>
      </c>
      <c r="S356" s="63"/>
      <c r="T356" s="72" t="s">
        <v>59</v>
      </c>
      <c r="U356" s="109"/>
      <c r="V356" s="74"/>
      <c r="W356" s="109" t="str">
        <f t="shared" si="74"/>
        <v/>
      </c>
      <c r="X356" s="74"/>
      <c r="Y356" s="109" t="str">
        <f t="shared" si="75"/>
        <v/>
      </c>
      <c r="Z356" s="76"/>
    </row>
    <row r="357" spans="1:26" s="29" customFormat="1" ht="21" customHeight="1" x14ac:dyDescent="0.2">
      <c r="A357" s="30"/>
      <c r="B357" s="455"/>
      <c r="C357" s="455"/>
      <c r="D357" s="455"/>
      <c r="E357" s="455"/>
      <c r="F357" s="455"/>
      <c r="G357" s="455"/>
      <c r="H357" s="455"/>
      <c r="I357" s="455"/>
      <c r="J357" s="455"/>
      <c r="K357" s="455"/>
      <c r="L357" s="46"/>
      <c r="N357" s="71"/>
      <c r="O357" s="72" t="s">
        <v>60</v>
      </c>
      <c r="P357" s="72"/>
      <c r="Q357" s="72"/>
      <c r="R357" s="72" t="str">
        <f t="shared" si="72"/>
        <v/>
      </c>
      <c r="S357" s="63"/>
      <c r="T357" s="72" t="s">
        <v>60</v>
      </c>
      <c r="U357" s="109"/>
      <c r="V357" s="74"/>
      <c r="W357" s="109" t="str">
        <f t="shared" si="74"/>
        <v/>
      </c>
      <c r="X357" s="74"/>
      <c r="Y357" s="109" t="str">
        <f t="shared" si="75"/>
        <v/>
      </c>
      <c r="Z357" s="76"/>
    </row>
    <row r="358" spans="1:26" s="29" customFormat="1" ht="21" customHeight="1" thickBot="1" x14ac:dyDescent="0.25">
      <c r="A358" s="5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1"/>
      <c r="N358" s="77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9"/>
    </row>
    <row r="359" spans="1:26" s="29" customFormat="1" ht="21" customHeight="1" thickBot="1" x14ac:dyDescent="0.25"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s="29" customFormat="1" ht="21" hidden="1" customHeight="1" x14ac:dyDescent="0.2">
      <c r="A360" s="463" t="s">
        <v>42</v>
      </c>
      <c r="B360" s="464"/>
      <c r="C360" s="464"/>
      <c r="D360" s="464"/>
      <c r="E360" s="464"/>
      <c r="F360" s="464"/>
      <c r="G360" s="464"/>
      <c r="H360" s="464"/>
      <c r="I360" s="464"/>
      <c r="J360" s="464"/>
      <c r="K360" s="464"/>
      <c r="L360" s="465"/>
      <c r="M360" s="28"/>
      <c r="N360" s="64"/>
      <c r="O360" s="469" t="s">
        <v>44</v>
      </c>
      <c r="P360" s="470"/>
      <c r="Q360" s="470"/>
      <c r="R360" s="471"/>
      <c r="S360" s="65"/>
      <c r="T360" s="469" t="s">
        <v>45</v>
      </c>
      <c r="U360" s="470"/>
      <c r="V360" s="470"/>
      <c r="W360" s="470"/>
      <c r="X360" s="470"/>
      <c r="Y360" s="471"/>
      <c r="Z360" s="66"/>
    </row>
    <row r="361" spans="1:26" s="29" customFormat="1" ht="21" hidden="1" customHeight="1" x14ac:dyDescent="0.2">
      <c r="A361" s="30"/>
      <c r="C361" s="466" t="s">
        <v>92</v>
      </c>
      <c r="D361" s="466"/>
      <c r="E361" s="466"/>
      <c r="F361" s="466"/>
      <c r="G361" s="31" t="str">
        <f>$J$1</f>
        <v>October</v>
      </c>
      <c r="H361" s="467">
        <f>$K$1</f>
        <v>2022</v>
      </c>
      <c r="I361" s="467"/>
      <c r="K361" s="32"/>
      <c r="L361" s="33"/>
      <c r="M361" s="32"/>
      <c r="N361" s="67"/>
      <c r="O361" s="68" t="s">
        <v>55</v>
      </c>
      <c r="P361" s="68" t="s">
        <v>7</v>
      </c>
      <c r="Q361" s="68" t="s">
        <v>6</v>
      </c>
      <c r="R361" s="68" t="s">
        <v>56</v>
      </c>
      <c r="S361" s="69"/>
      <c r="T361" s="68" t="s">
        <v>55</v>
      </c>
      <c r="U361" s="68" t="s">
        <v>57</v>
      </c>
      <c r="V361" s="68" t="s">
        <v>22</v>
      </c>
      <c r="W361" s="68" t="s">
        <v>21</v>
      </c>
      <c r="X361" s="68" t="s">
        <v>23</v>
      </c>
      <c r="Y361" s="68" t="s">
        <v>61</v>
      </c>
      <c r="Z361" s="70"/>
    </row>
    <row r="362" spans="1:26" s="29" customFormat="1" ht="21" hidden="1" customHeight="1" x14ac:dyDescent="0.2">
      <c r="A362" s="30"/>
      <c r="D362" s="35"/>
      <c r="E362" s="35"/>
      <c r="F362" s="35"/>
      <c r="G362" s="35"/>
      <c r="H362" s="35"/>
      <c r="J362" s="36" t="s">
        <v>1</v>
      </c>
      <c r="K362" s="37">
        <v>1400</v>
      </c>
      <c r="L362" s="38"/>
      <c r="N362" s="71"/>
      <c r="O362" s="72" t="s">
        <v>47</v>
      </c>
      <c r="P362" s="72"/>
      <c r="Q362" s="72"/>
      <c r="R362" s="72">
        <f>15-Q362+3</f>
        <v>18</v>
      </c>
      <c r="S362" s="73"/>
      <c r="T362" s="72" t="s">
        <v>47</v>
      </c>
      <c r="U362" s="74"/>
      <c r="V362" s="74"/>
      <c r="W362" s="74"/>
      <c r="X362" s="74"/>
      <c r="Y362" s="74"/>
      <c r="Z362" s="70"/>
    </row>
    <row r="363" spans="1:26" s="29" customFormat="1" ht="21" hidden="1" customHeight="1" x14ac:dyDescent="0.2">
      <c r="A363" s="30"/>
      <c r="B363" s="29" t="s">
        <v>0</v>
      </c>
      <c r="C363" s="40" t="s">
        <v>198</v>
      </c>
      <c r="H363" s="41"/>
      <c r="I363" s="35"/>
      <c r="L363" s="42"/>
      <c r="M363" s="28"/>
      <c r="N363" s="75"/>
      <c r="O363" s="72" t="s">
        <v>73</v>
      </c>
      <c r="P363" s="72"/>
      <c r="Q363" s="72"/>
      <c r="R363" s="145">
        <f>R362-Q363+5</f>
        <v>23</v>
      </c>
      <c r="S363" s="63"/>
      <c r="T363" s="72" t="s">
        <v>73</v>
      </c>
      <c r="U363" s="109"/>
      <c r="V363" s="74"/>
      <c r="W363" s="109"/>
      <c r="X363" s="74"/>
      <c r="Y363" s="109"/>
      <c r="Z363" s="76"/>
    </row>
    <row r="364" spans="1:26" s="29" customFormat="1" ht="21" hidden="1" customHeight="1" x14ac:dyDescent="0.2">
      <c r="A364" s="30"/>
      <c r="B364" s="44" t="s">
        <v>43</v>
      </c>
      <c r="C364" s="40"/>
      <c r="F364" s="468" t="s">
        <v>45</v>
      </c>
      <c r="G364" s="468"/>
      <c r="I364" s="468" t="s">
        <v>46</v>
      </c>
      <c r="J364" s="468"/>
      <c r="K364" s="468"/>
      <c r="L364" s="46"/>
      <c r="N364" s="71"/>
      <c r="O364" s="72" t="s">
        <v>48</v>
      </c>
      <c r="P364" s="72"/>
      <c r="Q364" s="72"/>
      <c r="R364" s="145">
        <f>R363-Q364+5</f>
        <v>28</v>
      </c>
      <c r="S364" s="63"/>
      <c r="T364" s="72" t="s">
        <v>48</v>
      </c>
      <c r="U364" s="109"/>
      <c r="V364" s="74"/>
      <c r="W364" s="109"/>
      <c r="X364" s="74"/>
      <c r="Y364" s="109"/>
      <c r="Z364" s="76"/>
    </row>
    <row r="365" spans="1:26" s="29" customFormat="1" ht="21" hidden="1" customHeight="1" x14ac:dyDescent="0.2">
      <c r="A365" s="30"/>
      <c r="H365" s="47"/>
      <c r="L365" s="34"/>
      <c r="N365" s="71"/>
      <c r="O365" s="72" t="s">
        <v>49</v>
      </c>
      <c r="P365" s="72"/>
      <c r="Q365" s="72"/>
      <c r="R365" s="72">
        <v>0</v>
      </c>
      <c r="S365" s="63"/>
      <c r="T365" s="72" t="s">
        <v>49</v>
      </c>
      <c r="U365" s="109"/>
      <c r="V365" s="74"/>
      <c r="W365" s="109"/>
      <c r="X365" s="74"/>
      <c r="Y365" s="109"/>
      <c r="Z365" s="76"/>
    </row>
    <row r="366" spans="1:26" s="29" customFormat="1" ht="21" hidden="1" customHeight="1" x14ac:dyDescent="0.2">
      <c r="A366" s="30"/>
      <c r="B366" s="472" t="s">
        <v>44</v>
      </c>
      <c r="C366" s="473"/>
      <c r="F366" s="48" t="s">
        <v>66</v>
      </c>
      <c r="G366" s="43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7"/>
      <c r="I366" s="49"/>
      <c r="J366" s="50" t="s">
        <v>63</v>
      </c>
      <c r="K366" s="51">
        <f>K362*I366</f>
        <v>0</v>
      </c>
      <c r="L366" s="52"/>
      <c r="N366" s="71"/>
      <c r="O366" s="72" t="s">
        <v>50</v>
      </c>
      <c r="P366" s="72"/>
      <c r="Q366" s="72"/>
      <c r="R366" s="72">
        <v>0</v>
      </c>
      <c r="S366" s="63"/>
      <c r="T366" s="72" t="s">
        <v>50</v>
      </c>
      <c r="U366" s="109"/>
      <c r="V366" s="74"/>
      <c r="W366" s="109"/>
      <c r="X366" s="74"/>
      <c r="Y366" s="109"/>
      <c r="Z366" s="76"/>
    </row>
    <row r="367" spans="1:26" s="29" customFormat="1" ht="21" hidden="1" customHeight="1" x14ac:dyDescent="0.2">
      <c r="A367" s="30"/>
      <c r="B367" s="39"/>
      <c r="C367" s="39"/>
      <c r="F367" s="48" t="s">
        <v>22</v>
      </c>
      <c r="G367" s="43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7"/>
      <c r="I367" s="84"/>
      <c r="J367" s="50" t="s">
        <v>64</v>
      </c>
      <c r="K367" s="53">
        <f>K362/8*I367</f>
        <v>0</v>
      </c>
      <c r="L367" s="54"/>
      <c r="N367" s="71"/>
      <c r="O367" s="72" t="s">
        <v>51</v>
      </c>
      <c r="P367" s="72"/>
      <c r="Q367" s="72"/>
      <c r="R367" s="72">
        <v>0</v>
      </c>
      <c r="S367" s="63"/>
      <c r="T367" s="72" t="s">
        <v>51</v>
      </c>
      <c r="U367" s="109"/>
      <c r="V367" s="74"/>
      <c r="W367" s="109"/>
      <c r="X367" s="74"/>
      <c r="Y367" s="109"/>
      <c r="Z367" s="76"/>
    </row>
    <row r="368" spans="1:26" s="29" customFormat="1" ht="21" hidden="1" customHeight="1" x14ac:dyDescent="0.2">
      <c r="A368" s="30"/>
      <c r="B368" s="48" t="s">
        <v>7</v>
      </c>
      <c r="C368" s="39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F368" s="48" t="s">
        <v>67</v>
      </c>
      <c r="G368" s="43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7"/>
      <c r="I368" s="456" t="s">
        <v>71</v>
      </c>
      <c r="J368" s="457"/>
      <c r="K368" s="53">
        <f>K366+K367</f>
        <v>0</v>
      </c>
      <c r="L368" s="54"/>
      <c r="N368" s="71"/>
      <c r="O368" s="72" t="s">
        <v>52</v>
      </c>
      <c r="P368" s="72"/>
      <c r="Q368" s="72"/>
      <c r="R368" s="72">
        <v>0</v>
      </c>
      <c r="S368" s="63"/>
      <c r="T368" s="72" t="s">
        <v>52</v>
      </c>
      <c r="U368" s="109"/>
      <c r="V368" s="74"/>
      <c r="W368" s="109"/>
      <c r="X368" s="74"/>
      <c r="Y368" s="109"/>
      <c r="Z368" s="76"/>
    </row>
    <row r="369" spans="1:26" s="29" customFormat="1" ht="21" hidden="1" customHeight="1" x14ac:dyDescent="0.2">
      <c r="A369" s="30"/>
      <c r="B369" s="48" t="s">
        <v>6</v>
      </c>
      <c r="C369" s="39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F369" s="48" t="s">
        <v>23</v>
      </c>
      <c r="G369" s="43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7"/>
      <c r="I369" s="456" t="s">
        <v>72</v>
      </c>
      <c r="J369" s="457"/>
      <c r="K369" s="43">
        <f>G369</f>
        <v>0</v>
      </c>
      <c r="L369" s="55"/>
      <c r="N369" s="71"/>
      <c r="O369" s="72" t="s">
        <v>53</v>
      </c>
      <c r="P369" s="72"/>
      <c r="Q369" s="72"/>
      <c r="R369" s="72">
        <v>0</v>
      </c>
      <c r="S369" s="63"/>
      <c r="T369" s="72" t="s">
        <v>53</v>
      </c>
      <c r="U369" s="109"/>
      <c r="V369" s="74"/>
      <c r="W369" s="109"/>
      <c r="X369" s="74"/>
      <c r="Y369" s="109"/>
      <c r="Z369" s="76"/>
    </row>
    <row r="370" spans="1:26" s="29" customFormat="1" ht="21" hidden="1" customHeight="1" x14ac:dyDescent="0.2">
      <c r="A370" s="30"/>
      <c r="B370" s="56" t="s">
        <v>70</v>
      </c>
      <c r="C370" s="39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F370" s="48" t="s">
        <v>69</v>
      </c>
      <c r="G370" s="43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I370" s="458" t="s">
        <v>65</v>
      </c>
      <c r="J370" s="459"/>
      <c r="K370" s="57">
        <f>K368-K369</f>
        <v>0</v>
      </c>
      <c r="L370" s="58"/>
      <c r="N370" s="71"/>
      <c r="O370" s="72" t="s">
        <v>58</v>
      </c>
      <c r="P370" s="72"/>
      <c r="Q370" s="72"/>
      <c r="R370" s="72">
        <v>0</v>
      </c>
      <c r="S370" s="63"/>
      <c r="T370" s="72" t="s">
        <v>58</v>
      </c>
      <c r="U370" s="109"/>
      <c r="V370" s="74"/>
      <c r="W370" s="109"/>
      <c r="X370" s="74"/>
      <c r="Y370" s="109"/>
      <c r="Z370" s="76"/>
    </row>
    <row r="371" spans="1:26" s="29" customFormat="1" ht="21" hidden="1" customHeight="1" x14ac:dyDescent="0.2">
      <c r="A371" s="30"/>
      <c r="L371" s="46"/>
      <c r="N371" s="71"/>
      <c r="O371" s="72" t="s">
        <v>54</v>
      </c>
      <c r="P371" s="72"/>
      <c r="Q371" s="72"/>
      <c r="R371" s="72">
        <v>0</v>
      </c>
      <c r="S371" s="63"/>
      <c r="T371" s="72" t="s">
        <v>54</v>
      </c>
      <c r="U371" s="109"/>
      <c r="V371" s="74"/>
      <c r="W371" s="109"/>
      <c r="X371" s="74"/>
      <c r="Y371" s="109"/>
      <c r="Z371" s="76"/>
    </row>
    <row r="372" spans="1:26" s="29" customFormat="1" ht="21" hidden="1" customHeight="1" x14ac:dyDescent="0.2">
      <c r="A372" s="30"/>
      <c r="B372" s="455" t="s">
        <v>94</v>
      </c>
      <c r="C372" s="455"/>
      <c r="D372" s="455"/>
      <c r="E372" s="455"/>
      <c r="F372" s="455"/>
      <c r="G372" s="455"/>
      <c r="H372" s="455"/>
      <c r="I372" s="455"/>
      <c r="J372" s="455"/>
      <c r="K372" s="455"/>
      <c r="L372" s="46"/>
      <c r="N372" s="71"/>
      <c r="O372" s="72" t="s">
        <v>59</v>
      </c>
      <c r="P372" s="72"/>
      <c r="Q372" s="72">
        <v>0</v>
      </c>
      <c r="R372" s="72">
        <v>0</v>
      </c>
      <c r="S372" s="63"/>
      <c r="T372" s="72" t="s">
        <v>59</v>
      </c>
      <c r="U372" s="109" t="str">
        <f>IF($J$1="October","",Y371)</f>
        <v/>
      </c>
      <c r="V372" s="74"/>
      <c r="W372" s="109" t="str">
        <f t="shared" ref="W372:W373" si="76">IF(U372="","",U372+V372)</f>
        <v/>
      </c>
      <c r="X372" s="74"/>
      <c r="Y372" s="109" t="str">
        <f t="shared" ref="Y372:Y373" si="77">IF(W372="","",W372-X372)</f>
        <v/>
      </c>
      <c r="Z372" s="76"/>
    </row>
    <row r="373" spans="1:26" s="29" customFormat="1" ht="21" hidden="1" customHeight="1" x14ac:dyDescent="0.2">
      <c r="A373" s="30"/>
      <c r="B373" s="455"/>
      <c r="C373" s="455"/>
      <c r="D373" s="455"/>
      <c r="E373" s="455"/>
      <c r="F373" s="455"/>
      <c r="G373" s="455"/>
      <c r="H373" s="455"/>
      <c r="I373" s="455"/>
      <c r="J373" s="455"/>
      <c r="K373" s="455"/>
      <c r="L373" s="46"/>
      <c r="N373" s="71"/>
      <c r="O373" s="72" t="s">
        <v>60</v>
      </c>
      <c r="P373" s="72"/>
      <c r="Q373" s="72"/>
      <c r="R373" s="72">
        <v>0</v>
      </c>
      <c r="S373" s="63"/>
      <c r="T373" s="72" t="s">
        <v>60</v>
      </c>
      <c r="U373" s="109" t="str">
        <f>IF($J$1="November","",Y372)</f>
        <v/>
      </c>
      <c r="V373" s="74"/>
      <c r="W373" s="109" t="str">
        <f t="shared" si="76"/>
        <v/>
      </c>
      <c r="X373" s="74"/>
      <c r="Y373" s="109" t="str">
        <f t="shared" si="77"/>
        <v/>
      </c>
      <c r="Z373" s="76"/>
    </row>
    <row r="374" spans="1:26" s="29" customFormat="1" ht="21" hidden="1" customHeight="1" thickBot="1" x14ac:dyDescent="0.25">
      <c r="A374" s="5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1"/>
      <c r="N374" s="77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9"/>
    </row>
    <row r="375" spans="1:26" ht="15.75" hidden="1" thickBot="1" x14ac:dyDescent="0.3"/>
    <row r="376" spans="1:26" s="29" customFormat="1" ht="21.4" hidden="1" customHeight="1" x14ac:dyDescent="0.2">
      <c r="A376" s="463" t="s">
        <v>42</v>
      </c>
      <c r="B376" s="464"/>
      <c r="C376" s="464"/>
      <c r="D376" s="464"/>
      <c r="E376" s="464"/>
      <c r="F376" s="464"/>
      <c r="G376" s="464"/>
      <c r="H376" s="464"/>
      <c r="I376" s="464"/>
      <c r="J376" s="464"/>
      <c r="K376" s="464"/>
      <c r="L376" s="465"/>
      <c r="M376" s="28"/>
      <c r="N376" s="64"/>
      <c r="O376" s="469" t="s">
        <v>44</v>
      </c>
      <c r="P376" s="470"/>
      <c r="Q376" s="470"/>
      <c r="R376" s="471"/>
      <c r="S376" s="65"/>
      <c r="T376" s="469" t="s">
        <v>45</v>
      </c>
      <c r="U376" s="470"/>
      <c r="V376" s="470"/>
      <c r="W376" s="470"/>
      <c r="X376" s="470"/>
      <c r="Y376" s="471"/>
      <c r="Z376" s="63"/>
    </row>
    <row r="377" spans="1:26" s="29" customFormat="1" ht="21.4" hidden="1" customHeight="1" x14ac:dyDescent="0.2">
      <c r="A377" s="30"/>
      <c r="C377" s="466" t="s">
        <v>92</v>
      </c>
      <c r="D377" s="466"/>
      <c r="E377" s="466"/>
      <c r="F377" s="466"/>
      <c r="G377" s="31" t="str">
        <f>$J$1</f>
        <v>October</v>
      </c>
      <c r="H377" s="467">
        <f>$K$1</f>
        <v>2022</v>
      </c>
      <c r="I377" s="467"/>
      <c r="K377" s="32"/>
      <c r="L377" s="33"/>
      <c r="M377" s="32"/>
      <c r="N377" s="67"/>
      <c r="O377" s="68" t="s">
        <v>55</v>
      </c>
      <c r="P377" s="68" t="s">
        <v>7</v>
      </c>
      <c r="Q377" s="68" t="s">
        <v>6</v>
      </c>
      <c r="R377" s="68" t="s">
        <v>56</v>
      </c>
      <c r="S377" s="69"/>
      <c r="T377" s="68" t="s">
        <v>55</v>
      </c>
      <c r="U377" s="68" t="s">
        <v>57</v>
      </c>
      <c r="V377" s="68" t="s">
        <v>22</v>
      </c>
      <c r="W377" s="68" t="s">
        <v>21</v>
      </c>
      <c r="X377" s="68" t="s">
        <v>23</v>
      </c>
      <c r="Y377" s="68" t="s">
        <v>61</v>
      </c>
      <c r="Z377" s="63"/>
    </row>
    <row r="378" spans="1:26" s="29" customFormat="1" ht="21.4" hidden="1" customHeight="1" x14ac:dyDescent="0.2">
      <c r="A378" s="30"/>
      <c r="D378" s="35"/>
      <c r="E378" s="35"/>
      <c r="F378" s="35"/>
      <c r="G378" s="35"/>
      <c r="H378" s="35"/>
      <c r="J378" s="36" t="s">
        <v>1</v>
      </c>
      <c r="K378" s="37"/>
      <c r="L378" s="38"/>
      <c r="N378" s="71"/>
      <c r="O378" s="72" t="s">
        <v>47</v>
      </c>
      <c r="P378" s="72"/>
      <c r="Q378" s="72"/>
      <c r="R378" s="72">
        <v>0</v>
      </c>
      <c r="S378" s="73"/>
      <c r="T378" s="72" t="s">
        <v>47</v>
      </c>
      <c r="U378" s="74"/>
      <c r="V378" s="74"/>
      <c r="W378" s="74"/>
      <c r="X378" s="74"/>
      <c r="Y378" s="74"/>
      <c r="Z378" s="63"/>
    </row>
    <row r="379" spans="1:26" s="29" customFormat="1" ht="21.4" hidden="1" customHeight="1" x14ac:dyDescent="0.2">
      <c r="A379" s="30"/>
      <c r="B379" s="29" t="s">
        <v>0</v>
      </c>
      <c r="C379" s="40" t="s">
        <v>236</v>
      </c>
      <c r="H379" s="41"/>
      <c r="I379" s="35"/>
      <c r="L379" s="42"/>
      <c r="M379" s="28"/>
      <c r="N379" s="75"/>
      <c r="O379" s="72" t="s">
        <v>73</v>
      </c>
      <c r="P379" s="72"/>
      <c r="Q379" s="72"/>
      <c r="R379" s="72">
        <v>0</v>
      </c>
      <c r="S379" s="63"/>
      <c r="T379" s="72" t="s">
        <v>73</v>
      </c>
      <c r="U379" s="109"/>
      <c r="V379" s="74"/>
      <c r="W379" s="74"/>
      <c r="X379" s="74"/>
      <c r="Y379" s="109"/>
      <c r="Z379" s="63"/>
    </row>
    <row r="380" spans="1:26" s="29" customFormat="1" ht="21.4" hidden="1" customHeight="1" x14ac:dyDescent="0.2">
      <c r="A380" s="30"/>
      <c r="B380" s="44" t="s">
        <v>43</v>
      </c>
      <c r="C380" s="45"/>
      <c r="F380" s="468" t="s">
        <v>45</v>
      </c>
      <c r="G380" s="468"/>
      <c r="I380" s="468" t="s">
        <v>46</v>
      </c>
      <c r="J380" s="468"/>
      <c r="K380" s="468"/>
      <c r="L380" s="46"/>
      <c r="N380" s="71"/>
      <c r="O380" s="72" t="s">
        <v>48</v>
      </c>
      <c r="P380" s="72"/>
      <c r="Q380" s="72"/>
      <c r="R380" s="72">
        <v>0</v>
      </c>
      <c r="S380" s="63"/>
      <c r="T380" s="72" t="s">
        <v>48</v>
      </c>
      <c r="U380" s="109"/>
      <c r="V380" s="74"/>
      <c r="W380" s="109"/>
      <c r="X380" s="74"/>
      <c r="Y380" s="109"/>
      <c r="Z380" s="63"/>
    </row>
    <row r="381" spans="1:26" s="29" customFormat="1" ht="21.4" hidden="1" customHeight="1" x14ac:dyDescent="0.2">
      <c r="A381" s="30"/>
      <c r="H381" s="47"/>
      <c r="L381" s="34"/>
      <c r="N381" s="71"/>
      <c r="O381" s="72" t="s">
        <v>49</v>
      </c>
      <c r="P381" s="72"/>
      <c r="Q381" s="72"/>
      <c r="R381" s="72">
        <v>0</v>
      </c>
      <c r="S381" s="63"/>
      <c r="T381" s="72" t="s">
        <v>49</v>
      </c>
      <c r="U381" s="109"/>
      <c r="V381" s="74"/>
      <c r="W381" s="109"/>
      <c r="X381" s="74"/>
      <c r="Y381" s="109"/>
      <c r="Z381" s="63"/>
    </row>
    <row r="382" spans="1:26" s="29" customFormat="1" ht="21.4" hidden="1" customHeight="1" x14ac:dyDescent="0.2">
      <c r="A382" s="30"/>
      <c r="B382" s="472" t="s">
        <v>44</v>
      </c>
      <c r="C382" s="473"/>
      <c r="F382" s="48" t="s">
        <v>66</v>
      </c>
      <c r="G382" s="43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7"/>
      <c r="I382" s="49">
        <f>IF(C386&gt;0,$K$2,C384)</f>
        <v>31</v>
      </c>
      <c r="J382" s="50" t="s">
        <v>63</v>
      </c>
      <c r="K382" s="51">
        <f>K378/$K$2*I382</f>
        <v>0</v>
      </c>
      <c r="L382" s="52"/>
      <c r="N382" s="71"/>
      <c r="O382" s="72" t="s">
        <v>50</v>
      </c>
      <c r="P382" s="72"/>
      <c r="Q382" s="72"/>
      <c r="R382" s="72">
        <v>0</v>
      </c>
      <c r="S382" s="63"/>
      <c r="T382" s="72" t="s">
        <v>50</v>
      </c>
      <c r="U382" s="109"/>
      <c r="V382" s="74"/>
      <c r="W382" s="109"/>
      <c r="X382" s="74"/>
      <c r="Y382" s="109"/>
      <c r="Z382" s="63"/>
    </row>
    <row r="383" spans="1:26" s="29" customFormat="1" ht="21.4" hidden="1" customHeight="1" x14ac:dyDescent="0.2">
      <c r="A383" s="30"/>
      <c r="B383" s="39"/>
      <c r="C383" s="39"/>
      <c r="F383" s="48" t="s">
        <v>22</v>
      </c>
      <c r="G383" s="43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7"/>
      <c r="I383" s="84"/>
      <c r="J383" s="50" t="s">
        <v>64</v>
      </c>
      <c r="K383" s="53">
        <f>K378/$K$2/8*I383</f>
        <v>0</v>
      </c>
      <c r="L383" s="54"/>
      <c r="N383" s="71"/>
      <c r="O383" s="72" t="s">
        <v>51</v>
      </c>
      <c r="P383" s="72"/>
      <c r="Q383" s="72"/>
      <c r="R383" s="72">
        <v>0</v>
      </c>
      <c r="S383" s="63"/>
      <c r="T383" s="72" t="s">
        <v>51</v>
      </c>
      <c r="U383" s="109"/>
      <c r="V383" s="74"/>
      <c r="W383" s="109"/>
      <c r="X383" s="74"/>
      <c r="Y383" s="109"/>
      <c r="Z383" s="63"/>
    </row>
    <row r="384" spans="1:26" s="29" customFormat="1" ht="21.4" hidden="1" customHeight="1" x14ac:dyDescent="0.2">
      <c r="A384" s="30"/>
      <c r="B384" s="48" t="s">
        <v>7</v>
      </c>
      <c r="C384" s="39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F384" s="48" t="s">
        <v>67</v>
      </c>
      <c r="G384" s="43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7"/>
      <c r="I384" s="456" t="s">
        <v>71</v>
      </c>
      <c r="J384" s="457"/>
      <c r="K384" s="53">
        <f>K382+K383</f>
        <v>0</v>
      </c>
      <c r="L384" s="54"/>
      <c r="N384" s="71"/>
      <c r="O384" s="72" t="s">
        <v>52</v>
      </c>
      <c r="P384" s="72"/>
      <c r="Q384" s="72"/>
      <c r="R384" s="72">
        <v>0</v>
      </c>
      <c r="S384" s="63"/>
      <c r="T384" s="72" t="s">
        <v>52</v>
      </c>
      <c r="U384" s="109"/>
      <c r="V384" s="74"/>
      <c r="W384" s="109"/>
      <c r="X384" s="74"/>
      <c r="Y384" s="109"/>
      <c r="Z384" s="63"/>
    </row>
    <row r="385" spans="1:26" s="29" customFormat="1" ht="21.4" hidden="1" customHeight="1" x14ac:dyDescent="0.2">
      <c r="A385" s="30"/>
      <c r="B385" s="48" t="s">
        <v>6</v>
      </c>
      <c r="C385" s="39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F385" s="48" t="s">
        <v>23</v>
      </c>
      <c r="G385" s="43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7"/>
      <c r="I385" s="456" t="s">
        <v>72</v>
      </c>
      <c r="J385" s="457"/>
      <c r="K385" s="43">
        <f>G385</f>
        <v>0</v>
      </c>
      <c r="L385" s="55"/>
      <c r="N385" s="71"/>
      <c r="O385" s="72" t="s">
        <v>53</v>
      </c>
      <c r="P385" s="72"/>
      <c r="Q385" s="72"/>
      <c r="R385" s="72">
        <v>0</v>
      </c>
      <c r="S385" s="63"/>
      <c r="T385" s="72" t="s">
        <v>53</v>
      </c>
      <c r="U385" s="109"/>
      <c r="V385" s="74"/>
      <c r="W385" s="109"/>
      <c r="X385" s="74"/>
      <c r="Y385" s="109"/>
      <c r="Z385" s="63"/>
    </row>
    <row r="386" spans="1:26" s="29" customFormat="1" ht="21.4" hidden="1" customHeight="1" x14ac:dyDescent="0.2">
      <c r="A386" s="30"/>
      <c r="B386" s="56" t="s">
        <v>70</v>
      </c>
      <c r="C386" s="39" t="str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/>
      </c>
      <c r="F386" s="48" t="s">
        <v>69</v>
      </c>
      <c r="G386" s="43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I386" s="458" t="s">
        <v>65</v>
      </c>
      <c r="J386" s="459"/>
      <c r="K386" s="57">
        <f>K384-K385</f>
        <v>0</v>
      </c>
      <c r="L386" s="58"/>
      <c r="N386" s="71"/>
      <c r="O386" s="72" t="s">
        <v>58</v>
      </c>
      <c r="P386" s="72"/>
      <c r="Q386" s="72"/>
      <c r="R386" s="72" t="str">
        <f t="shared" ref="R386:R388" si="78">IF(Q386="","",R385-Q386)</f>
        <v/>
      </c>
      <c r="S386" s="63"/>
      <c r="T386" s="72" t="s">
        <v>58</v>
      </c>
      <c r="U386" s="109"/>
      <c r="V386" s="74"/>
      <c r="W386" s="109"/>
      <c r="X386" s="74"/>
      <c r="Y386" s="109"/>
      <c r="Z386" s="63"/>
    </row>
    <row r="387" spans="1:26" s="29" customFormat="1" ht="21.4" hidden="1" customHeight="1" x14ac:dyDescent="0.2">
      <c r="A387" s="30"/>
      <c r="K387" s="113"/>
      <c r="L387" s="46"/>
      <c r="N387" s="71"/>
      <c r="O387" s="72" t="s">
        <v>54</v>
      </c>
      <c r="P387" s="72"/>
      <c r="Q387" s="72"/>
      <c r="R387" s="72" t="str">
        <f t="shared" si="78"/>
        <v/>
      </c>
      <c r="S387" s="63"/>
      <c r="T387" s="72" t="s">
        <v>54</v>
      </c>
      <c r="U387" s="109"/>
      <c r="V387" s="74"/>
      <c r="W387" s="109"/>
      <c r="X387" s="74"/>
      <c r="Y387" s="109"/>
      <c r="Z387" s="63"/>
    </row>
    <row r="388" spans="1:26" s="29" customFormat="1" ht="21.4" hidden="1" customHeight="1" x14ac:dyDescent="0.2">
      <c r="A388" s="30"/>
      <c r="B388" s="455" t="s">
        <v>94</v>
      </c>
      <c r="C388" s="455"/>
      <c r="D388" s="455"/>
      <c r="E388" s="455"/>
      <c r="F388" s="455"/>
      <c r="G388" s="455"/>
      <c r="H388" s="455"/>
      <c r="I388" s="455"/>
      <c r="J388" s="455"/>
      <c r="K388" s="455"/>
      <c r="L388" s="46"/>
      <c r="N388" s="71"/>
      <c r="O388" s="72" t="s">
        <v>59</v>
      </c>
      <c r="P388" s="72"/>
      <c r="Q388" s="72"/>
      <c r="R388" s="72" t="str">
        <f t="shared" si="78"/>
        <v/>
      </c>
      <c r="S388" s="63"/>
      <c r="T388" s="72" t="s">
        <v>59</v>
      </c>
      <c r="U388" s="109"/>
      <c r="V388" s="74"/>
      <c r="W388" s="109"/>
      <c r="X388" s="74"/>
      <c r="Y388" s="109"/>
      <c r="Z388" s="63"/>
    </row>
    <row r="389" spans="1:26" s="29" customFormat="1" ht="21.4" hidden="1" customHeight="1" x14ac:dyDescent="0.2">
      <c r="A389" s="30"/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6"/>
      <c r="N389" s="71"/>
      <c r="O389" s="72" t="s">
        <v>60</v>
      </c>
      <c r="P389" s="72">
        <f>31-10</f>
        <v>21</v>
      </c>
      <c r="Q389" s="72">
        <v>10</v>
      </c>
      <c r="R389" s="72">
        <v>0</v>
      </c>
      <c r="S389" s="63"/>
      <c r="T389" s="72" t="s">
        <v>60</v>
      </c>
      <c r="U389" s="109"/>
      <c r="V389" s="74"/>
      <c r="W389" s="109"/>
      <c r="X389" s="74"/>
      <c r="Y389" s="109"/>
      <c r="Z389" s="63"/>
    </row>
    <row r="390" spans="1:26" s="29" customFormat="1" ht="21.4" hidden="1" customHeight="1" thickBot="1" x14ac:dyDescent="0.25">
      <c r="A390" s="5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1"/>
      <c r="N390" s="77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63"/>
    </row>
    <row r="391" spans="1:26" s="29" customFormat="1" ht="21" hidden="1" customHeight="1" thickBot="1" x14ac:dyDescent="0.25"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s="29" customFormat="1" ht="21.4" hidden="1" customHeight="1" x14ac:dyDescent="0.2">
      <c r="A392" s="463" t="s">
        <v>42</v>
      </c>
      <c r="B392" s="464"/>
      <c r="C392" s="464"/>
      <c r="D392" s="464"/>
      <c r="E392" s="464"/>
      <c r="F392" s="464"/>
      <c r="G392" s="464"/>
      <c r="H392" s="464"/>
      <c r="I392" s="464"/>
      <c r="J392" s="464"/>
      <c r="K392" s="464"/>
      <c r="L392" s="465"/>
      <c r="M392" s="28"/>
      <c r="N392" s="64"/>
      <c r="O392" s="469" t="s">
        <v>44</v>
      </c>
      <c r="P392" s="470"/>
      <c r="Q392" s="470"/>
      <c r="R392" s="471"/>
      <c r="S392" s="65"/>
      <c r="T392" s="469" t="s">
        <v>45</v>
      </c>
      <c r="U392" s="470"/>
      <c r="V392" s="470"/>
      <c r="W392" s="470"/>
      <c r="X392" s="470"/>
      <c r="Y392" s="471"/>
      <c r="Z392" s="63"/>
    </row>
    <row r="393" spans="1:26" s="29" customFormat="1" ht="21.4" hidden="1" customHeight="1" x14ac:dyDescent="0.2">
      <c r="A393" s="30"/>
      <c r="C393" s="466" t="s">
        <v>92</v>
      </c>
      <c r="D393" s="466"/>
      <c r="E393" s="466"/>
      <c r="F393" s="466"/>
      <c r="G393" s="31" t="str">
        <f>$J$1</f>
        <v>October</v>
      </c>
      <c r="H393" s="467">
        <f>$K$1</f>
        <v>2022</v>
      </c>
      <c r="I393" s="467"/>
      <c r="K393" s="32"/>
      <c r="L393" s="33"/>
      <c r="M393" s="32"/>
      <c r="N393" s="67"/>
      <c r="O393" s="68" t="s">
        <v>55</v>
      </c>
      <c r="P393" s="68" t="s">
        <v>7</v>
      </c>
      <c r="Q393" s="68" t="s">
        <v>6</v>
      </c>
      <c r="R393" s="68" t="s">
        <v>56</v>
      </c>
      <c r="S393" s="69"/>
      <c r="T393" s="68" t="s">
        <v>55</v>
      </c>
      <c r="U393" s="68" t="s">
        <v>57</v>
      </c>
      <c r="V393" s="68" t="s">
        <v>22</v>
      </c>
      <c r="W393" s="68" t="s">
        <v>21</v>
      </c>
      <c r="X393" s="68" t="s">
        <v>23</v>
      </c>
      <c r="Y393" s="68" t="s">
        <v>61</v>
      </c>
      <c r="Z393" s="63"/>
    </row>
    <row r="394" spans="1:26" s="29" customFormat="1" ht="21.4" hidden="1" customHeight="1" x14ac:dyDescent="0.2">
      <c r="A394" s="30"/>
      <c r="D394" s="35"/>
      <c r="E394" s="35"/>
      <c r="F394" s="35"/>
      <c r="G394" s="35"/>
      <c r="H394" s="35"/>
      <c r="J394" s="36" t="s">
        <v>1</v>
      </c>
      <c r="K394" s="37"/>
      <c r="L394" s="38"/>
      <c r="N394" s="71"/>
      <c r="O394" s="72" t="s">
        <v>47</v>
      </c>
      <c r="P394" s="72"/>
      <c r="Q394" s="72"/>
      <c r="R394" s="72">
        <v>15</v>
      </c>
      <c r="S394" s="73"/>
      <c r="T394" s="72" t="s">
        <v>47</v>
      </c>
      <c r="U394" s="74"/>
      <c r="V394" s="74"/>
      <c r="W394" s="74"/>
      <c r="X394" s="74"/>
      <c r="Y394" s="74"/>
      <c r="Z394" s="63"/>
    </row>
    <row r="395" spans="1:26" s="29" customFormat="1" ht="21.4" hidden="1" customHeight="1" x14ac:dyDescent="0.2">
      <c r="A395" s="30"/>
      <c r="B395" s="29" t="s">
        <v>0</v>
      </c>
      <c r="C395" s="40"/>
      <c r="H395" s="41"/>
      <c r="I395" s="35"/>
      <c r="L395" s="42"/>
      <c r="M395" s="28"/>
      <c r="N395" s="75"/>
      <c r="O395" s="72" t="s">
        <v>73</v>
      </c>
      <c r="P395" s="72"/>
      <c r="Q395" s="72"/>
      <c r="R395" s="72">
        <f>R394-Q395</f>
        <v>15</v>
      </c>
      <c r="S395" s="63"/>
      <c r="T395" s="72" t="s">
        <v>73</v>
      </c>
      <c r="U395" s="109"/>
      <c r="V395" s="74"/>
      <c r="W395" s="109" t="str">
        <f>IF(U395="","",U395+V395)</f>
        <v/>
      </c>
      <c r="X395" s="74"/>
      <c r="Y395" s="109" t="str">
        <f>IF(W395="","",W395-X395)</f>
        <v/>
      </c>
      <c r="Z395" s="63"/>
    </row>
    <row r="396" spans="1:26" s="29" customFormat="1" ht="21.4" hidden="1" customHeight="1" x14ac:dyDescent="0.2">
      <c r="A396" s="30"/>
      <c r="B396" s="44" t="s">
        <v>43</v>
      </c>
      <c r="C396" s="45"/>
      <c r="F396" s="468" t="s">
        <v>45</v>
      </c>
      <c r="G396" s="468"/>
      <c r="I396" s="468" t="s">
        <v>46</v>
      </c>
      <c r="J396" s="468"/>
      <c r="K396" s="468"/>
      <c r="L396" s="46"/>
      <c r="N396" s="71"/>
      <c r="O396" s="72" t="s">
        <v>48</v>
      </c>
      <c r="P396" s="72"/>
      <c r="Q396" s="72"/>
      <c r="R396" s="72">
        <v>0</v>
      </c>
      <c r="S396" s="63"/>
      <c r="T396" s="72" t="s">
        <v>48</v>
      </c>
      <c r="U396" s="109"/>
      <c r="V396" s="74"/>
      <c r="W396" s="109" t="str">
        <f t="shared" ref="W396:W405" si="79">IF(U396="","",U396+V396)</f>
        <v/>
      </c>
      <c r="X396" s="74"/>
      <c r="Y396" s="109" t="str">
        <f t="shared" ref="Y396:Y405" si="80">IF(W396="","",W396-X396)</f>
        <v/>
      </c>
      <c r="Z396" s="63"/>
    </row>
    <row r="397" spans="1:26" s="29" customFormat="1" ht="21.4" hidden="1" customHeight="1" x14ac:dyDescent="0.2">
      <c r="A397" s="30"/>
      <c r="H397" s="47"/>
      <c r="L397" s="34"/>
      <c r="N397" s="71"/>
      <c r="O397" s="72" t="s">
        <v>49</v>
      </c>
      <c r="P397" s="72"/>
      <c r="Q397" s="72"/>
      <c r="R397" s="72" t="str">
        <f t="shared" ref="R397:R405" si="81">IF(Q397="","",R396-Q397)</f>
        <v/>
      </c>
      <c r="S397" s="63"/>
      <c r="T397" s="72" t="s">
        <v>49</v>
      </c>
      <c r="U397" s="109"/>
      <c r="V397" s="74"/>
      <c r="W397" s="109" t="str">
        <f t="shared" si="79"/>
        <v/>
      </c>
      <c r="X397" s="74"/>
      <c r="Y397" s="109" t="str">
        <f t="shared" si="80"/>
        <v/>
      </c>
      <c r="Z397" s="63"/>
    </row>
    <row r="398" spans="1:26" s="29" customFormat="1" ht="21.4" hidden="1" customHeight="1" x14ac:dyDescent="0.2">
      <c r="A398" s="30"/>
      <c r="B398" s="472" t="s">
        <v>44</v>
      </c>
      <c r="C398" s="473"/>
      <c r="F398" s="48" t="s">
        <v>66</v>
      </c>
      <c r="G398" s="43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7"/>
      <c r="I398" s="49">
        <f>IF(C402&gt;0,$K$2,C400)</f>
        <v>31</v>
      </c>
      <c r="J398" s="50" t="s">
        <v>63</v>
      </c>
      <c r="K398" s="51">
        <f>K394/$K$2*I398</f>
        <v>0</v>
      </c>
      <c r="L398" s="52"/>
      <c r="N398" s="71"/>
      <c r="O398" s="72" t="s">
        <v>50</v>
      </c>
      <c r="P398" s="72"/>
      <c r="Q398" s="72"/>
      <c r="R398" s="72" t="str">
        <f t="shared" si="81"/>
        <v/>
      </c>
      <c r="S398" s="63"/>
      <c r="T398" s="72" t="s">
        <v>50</v>
      </c>
      <c r="U398" s="109"/>
      <c r="V398" s="74"/>
      <c r="W398" s="109" t="str">
        <f t="shared" si="79"/>
        <v/>
      </c>
      <c r="X398" s="74"/>
      <c r="Y398" s="109" t="str">
        <f t="shared" si="80"/>
        <v/>
      </c>
      <c r="Z398" s="63"/>
    </row>
    <row r="399" spans="1:26" s="29" customFormat="1" ht="21.4" hidden="1" customHeight="1" x14ac:dyDescent="0.2">
      <c r="A399" s="30"/>
      <c r="B399" s="39"/>
      <c r="C399" s="39"/>
      <c r="F399" s="48" t="s">
        <v>22</v>
      </c>
      <c r="G399" s="43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7"/>
      <c r="I399" s="84"/>
      <c r="J399" s="50" t="s">
        <v>64</v>
      </c>
      <c r="K399" s="53">
        <f>K394/$K$2/8*I399</f>
        <v>0</v>
      </c>
      <c r="L399" s="54"/>
      <c r="N399" s="71"/>
      <c r="O399" s="72" t="s">
        <v>51</v>
      </c>
      <c r="P399" s="72"/>
      <c r="Q399" s="72"/>
      <c r="R399" s="72" t="str">
        <f t="shared" si="81"/>
        <v/>
      </c>
      <c r="S399" s="63"/>
      <c r="T399" s="72" t="s">
        <v>51</v>
      </c>
      <c r="U399" s="109"/>
      <c r="V399" s="74"/>
      <c r="W399" s="109" t="str">
        <f t="shared" si="79"/>
        <v/>
      </c>
      <c r="X399" s="74"/>
      <c r="Y399" s="109" t="str">
        <f t="shared" si="80"/>
        <v/>
      </c>
      <c r="Z399" s="63"/>
    </row>
    <row r="400" spans="1:26" s="29" customFormat="1" ht="21.4" hidden="1" customHeight="1" x14ac:dyDescent="0.2">
      <c r="A400" s="30"/>
      <c r="B400" s="48" t="s">
        <v>7</v>
      </c>
      <c r="C400" s="39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F400" s="48" t="s">
        <v>67</v>
      </c>
      <c r="G400" s="43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7"/>
      <c r="I400" s="456" t="s">
        <v>71</v>
      </c>
      <c r="J400" s="457"/>
      <c r="K400" s="53">
        <f>K398+K399</f>
        <v>0</v>
      </c>
      <c r="L400" s="54"/>
      <c r="N400" s="71"/>
      <c r="O400" s="72" t="s">
        <v>52</v>
      </c>
      <c r="P400" s="72"/>
      <c r="Q400" s="72"/>
      <c r="R400" s="72" t="str">
        <f t="shared" si="81"/>
        <v/>
      </c>
      <c r="S400" s="63"/>
      <c r="T400" s="72" t="s">
        <v>52</v>
      </c>
      <c r="U400" s="109"/>
      <c r="V400" s="74"/>
      <c r="W400" s="109" t="str">
        <f t="shared" si="79"/>
        <v/>
      </c>
      <c r="X400" s="74"/>
      <c r="Y400" s="109" t="str">
        <f t="shared" si="80"/>
        <v/>
      </c>
      <c r="Z400" s="63"/>
    </row>
    <row r="401" spans="1:26" s="29" customFormat="1" ht="21.4" hidden="1" customHeight="1" x14ac:dyDescent="0.2">
      <c r="A401" s="30"/>
      <c r="B401" s="48" t="s">
        <v>6</v>
      </c>
      <c r="C401" s="39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F401" s="48" t="s">
        <v>23</v>
      </c>
      <c r="G401" s="43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7"/>
      <c r="I401" s="456" t="s">
        <v>72</v>
      </c>
      <c r="J401" s="457"/>
      <c r="K401" s="43">
        <f>G401</f>
        <v>0</v>
      </c>
      <c r="L401" s="55"/>
      <c r="N401" s="71"/>
      <c r="O401" s="72" t="s">
        <v>53</v>
      </c>
      <c r="P401" s="72"/>
      <c r="Q401" s="72"/>
      <c r="R401" s="72" t="str">
        <f t="shared" si="81"/>
        <v/>
      </c>
      <c r="S401" s="63"/>
      <c r="T401" s="72" t="s">
        <v>53</v>
      </c>
      <c r="U401" s="109"/>
      <c r="V401" s="74"/>
      <c r="W401" s="109" t="str">
        <f t="shared" si="79"/>
        <v/>
      </c>
      <c r="X401" s="74"/>
      <c r="Y401" s="109" t="str">
        <f t="shared" si="80"/>
        <v/>
      </c>
      <c r="Z401" s="63"/>
    </row>
    <row r="402" spans="1:26" s="29" customFormat="1" ht="21.4" hidden="1" customHeight="1" x14ac:dyDescent="0.2">
      <c r="A402" s="30"/>
      <c r="B402" s="56" t="s">
        <v>70</v>
      </c>
      <c r="C402" s="39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F402" s="48" t="s">
        <v>69</v>
      </c>
      <c r="G402" s="43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I402" s="458" t="s">
        <v>65</v>
      </c>
      <c r="J402" s="459"/>
      <c r="K402" s="57">
        <f>K400-K401</f>
        <v>0</v>
      </c>
      <c r="L402" s="58"/>
      <c r="N402" s="71"/>
      <c r="O402" s="72" t="s">
        <v>58</v>
      </c>
      <c r="P402" s="72"/>
      <c r="Q402" s="72"/>
      <c r="R402" s="72" t="str">
        <f t="shared" si="81"/>
        <v/>
      </c>
      <c r="S402" s="63"/>
      <c r="T402" s="72" t="s">
        <v>58</v>
      </c>
      <c r="U402" s="109"/>
      <c r="V402" s="74"/>
      <c r="W402" s="109" t="str">
        <f t="shared" si="79"/>
        <v/>
      </c>
      <c r="X402" s="74"/>
      <c r="Y402" s="109" t="str">
        <f t="shared" si="80"/>
        <v/>
      </c>
      <c r="Z402" s="63"/>
    </row>
    <row r="403" spans="1:26" s="29" customFormat="1" ht="21.4" hidden="1" customHeight="1" x14ac:dyDescent="0.2">
      <c r="A403" s="30"/>
      <c r="J403" s="113"/>
      <c r="K403" s="113"/>
      <c r="L403" s="46"/>
      <c r="N403" s="71"/>
      <c r="O403" s="72" t="s">
        <v>54</v>
      </c>
      <c r="P403" s="72"/>
      <c r="Q403" s="72"/>
      <c r="R403" s="72" t="str">
        <f t="shared" si="81"/>
        <v/>
      </c>
      <c r="S403" s="63"/>
      <c r="T403" s="72" t="s">
        <v>54</v>
      </c>
      <c r="U403" s="109"/>
      <c r="V403" s="74"/>
      <c r="W403" s="109" t="str">
        <f t="shared" si="79"/>
        <v/>
      </c>
      <c r="X403" s="74"/>
      <c r="Y403" s="109" t="str">
        <f t="shared" si="80"/>
        <v/>
      </c>
      <c r="Z403" s="63"/>
    </row>
    <row r="404" spans="1:26" s="29" customFormat="1" ht="21.4" hidden="1" customHeight="1" x14ac:dyDescent="0.2">
      <c r="A404" s="30"/>
      <c r="B404" s="455" t="s">
        <v>94</v>
      </c>
      <c r="C404" s="455"/>
      <c r="D404" s="455"/>
      <c r="E404" s="455"/>
      <c r="F404" s="455"/>
      <c r="G404" s="455"/>
      <c r="H404" s="455"/>
      <c r="I404" s="455"/>
      <c r="J404" s="455"/>
      <c r="K404" s="455"/>
      <c r="L404" s="46"/>
      <c r="N404" s="71"/>
      <c r="O404" s="72" t="s">
        <v>59</v>
      </c>
      <c r="P404" s="72"/>
      <c r="Q404" s="72"/>
      <c r="R404" s="72" t="str">
        <f t="shared" si="81"/>
        <v/>
      </c>
      <c r="S404" s="63"/>
      <c r="T404" s="72" t="s">
        <v>59</v>
      </c>
      <c r="U404" s="109"/>
      <c r="V404" s="74"/>
      <c r="W404" s="109" t="str">
        <f t="shared" si="79"/>
        <v/>
      </c>
      <c r="X404" s="74"/>
      <c r="Y404" s="109" t="str">
        <f t="shared" si="80"/>
        <v/>
      </c>
      <c r="Z404" s="63"/>
    </row>
    <row r="405" spans="1:26" s="29" customFormat="1" ht="21.4" hidden="1" customHeight="1" x14ac:dyDescent="0.2">
      <c r="A405" s="30"/>
      <c r="B405" s="455"/>
      <c r="C405" s="455"/>
      <c r="D405" s="455"/>
      <c r="E405" s="455"/>
      <c r="F405" s="455"/>
      <c r="G405" s="455"/>
      <c r="H405" s="455"/>
      <c r="I405" s="455"/>
      <c r="J405" s="455"/>
      <c r="K405" s="455"/>
      <c r="L405" s="46"/>
      <c r="N405" s="71"/>
      <c r="O405" s="72" t="s">
        <v>60</v>
      </c>
      <c r="P405" s="72"/>
      <c r="Q405" s="72"/>
      <c r="R405" s="72" t="str">
        <f t="shared" si="81"/>
        <v/>
      </c>
      <c r="S405" s="63"/>
      <c r="T405" s="72" t="s">
        <v>60</v>
      </c>
      <c r="U405" s="109"/>
      <c r="V405" s="74"/>
      <c r="W405" s="109" t="str">
        <f t="shared" si="79"/>
        <v/>
      </c>
      <c r="X405" s="74"/>
      <c r="Y405" s="109" t="str">
        <f t="shared" si="80"/>
        <v/>
      </c>
      <c r="Z405" s="63"/>
    </row>
    <row r="406" spans="1:26" s="29" customFormat="1" ht="21.4" hidden="1" customHeight="1" thickBot="1" x14ac:dyDescent="0.25">
      <c r="A406" s="5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1"/>
      <c r="N406" s="77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63"/>
    </row>
    <row r="407" spans="1:26" s="29" customFormat="1" ht="21.4" hidden="1" customHeight="1" thickBot="1" x14ac:dyDescent="0.25"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s="29" customFormat="1" ht="21.4" hidden="1" customHeight="1" x14ac:dyDescent="0.2">
      <c r="A408" s="517" t="s">
        <v>42</v>
      </c>
      <c r="B408" s="518"/>
      <c r="C408" s="518"/>
      <c r="D408" s="518"/>
      <c r="E408" s="518"/>
      <c r="F408" s="518"/>
      <c r="G408" s="518"/>
      <c r="H408" s="518"/>
      <c r="I408" s="518"/>
      <c r="J408" s="518"/>
      <c r="K408" s="518"/>
      <c r="L408" s="519"/>
      <c r="M408" s="28"/>
      <c r="N408" s="64"/>
      <c r="O408" s="469" t="s">
        <v>44</v>
      </c>
      <c r="P408" s="470"/>
      <c r="Q408" s="470"/>
      <c r="R408" s="471"/>
      <c r="S408" s="65"/>
      <c r="T408" s="469" t="s">
        <v>45</v>
      </c>
      <c r="U408" s="470"/>
      <c r="V408" s="470"/>
      <c r="W408" s="470"/>
      <c r="X408" s="470"/>
      <c r="Y408" s="471"/>
      <c r="Z408" s="63"/>
    </row>
    <row r="409" spans="1:26" s="29" customFormat="1" ht="21.4" hidden="1" customHeight="1" x14ac:dyDescent="0.2">
      <c r="A409" s="30"/>
      <c r="C409" s="466" t="s">
        <v>92</v>
      </c>
      <c r="D409" s="466"/>
      <c r="E409" s="466"/>
      <c r="F409" s="466"/>
      <c r="G409" s="31" t="str">
        <f>$J$1</f>
        <v>October</v>
      </c>
      <c r="H409" s="467">
        <f>$K$1</f>
        <v>2022</v>
      </c>
      <c r="I409" s="467"/>
      <c r="K409" s="32"/>
      <c r="L409" s="33"/>
      <c r="M409" s="32"/>
      <c r="N409" s="67"/>
      <c r="O409" s="68" t="s">
        <v>55</v>
      </c>
      <c r="P409" s="68" t="s">
        <v>7</v>
      </c>
      <c r="Q409" s="68" t="s">
        <v>6</v>
      </c>
      <c r="R409" s="68" t="s">
        <v>56</v>
      </c>
      <c r="S409" s="69"/>
      <c r="T409" s="68" t="s">
        <v>55</v>
      </c>
      <c r="U409" s="68" t="s">
        <v>57</v>
      </c>
      <c r="V409" s="68" t="s">
        <v>22</v>
      </c>
      <c r="W409" s="68" t="s">
        <v>21</v>
      </c>
      <c r="X409" s="68" t="s">
        <v>23</v>
      </c>
      <c r="Y409" s="68" t="s">
        <v>61</v>
      </c>
      <c r="Z409" s="63"/>
    </row>
    <row r="410" spans="1:26" s="29" customFormat="1" ht="21.4" hidden="1" customHeight="1" x14ac:dyDescent="0.2">
      <c r="A410" s="30"/>
      <c r="D410" s="35"/>
      <c r="E410" s="35"/>
      <c r="F410" s="35"/>
      <c r="G410" s="35"/>
      <c r="H410" s="35"/>
      <c r="J410" s="36" t="s">
        <v>1</v>
      </c>
      <c r="K410" s="37"/>
      <c r="L410" s="38"/>
      <c r="N410" s="71"/>
      <c r="O410" s="72" t="s">
        <v>47</v>
      </c>
      <c r="P410" s="72"/>
      <c r="Q410" s="72"/>
      <c r="R410" s="72">
        <v>15</v>
      </c>
      <c r="S410" s="73"/>
      <c r="T410" s="72" t="s">
        <v>47</v>
      </c>
      <c r="U410" s="74"/>
      <c r="V410" s="74"/>
      <c r="W410" s="74"/>
      <c r="X410" s="74"/>
      <c r="Y410" s="74"/>
      <c r="Z410" s="63"/>
    </row>
    <row r="411" spans="1:26" s="29" customFormat="1" ht="21.4" hidden="1" customHeight="1" x14ac:dyDescent="0.2">
      <c r="A411" s="30"/>
      <c r="B411" s="29" t="s">
        <v>0</v>
      </c>
      <c r="C411" s="40"/>
      <c r="H411" s="41"/>
      <c r="I411" s="35"/>
      <c r="L411" s="42"/>
      <c r="M411" s="28"/>
      <c r="N411" s="75"/>
      <c r="O411" s="72" t="s">
        <v>73</v>
      </c>
      <c r="P411" s="72"/>
      <c r="Q411" s="72"/>
      <c r="R411" s="72">
        <v>0</v>
      </c>
      <c r="S411" s="63"/>
      <c r="T411" s="72" t="s">
        <v>73</v>
      </c>
      <c r="U411" s="109"/>
      <c r="V411" s="74"/>
      <c r="W411" s="109"/>
      <c r="X411" s="74"/>
      <c r="Y411" s="109"/>
      <c r="Z411" s="63"/>
    </row>
    <row r="412" spans="1:26" s="29" customFormat="1" ht="21.4" hidden="1" customHeight="1" x14ac:dyDescent="0.2">
      <c r="A412" s="30"/>
      <c r="B412" s="44" t="s">
        <v>43</v>
      </c>
      <c r="C412" s="45"/>
      <c r="F412" s="468" t="s">
        <v>45</v>
      </c>
      <c r="G412" s="468"/>
      <c r="I412" s="468" t="s">
        <v>46</v>
      </c>
      <c r="J412" s="468"/>
      <c r="K412" s="468"/>
      <c r="L412" s="46"/>
      <c r="N412" s="71"/>
      <c r="O412" s="72" t="s">
        <v>48</v>
      </c>
      <c r="P412" s="72"/>
      <c r="Q412" s="72"/>
      <c r="R412" s="72">
        <v>0</v>
      </c>
      <c r="S412" s="63"/>
      <c r="T412" s="72" t="s">
        <v>48</v>
      </c>
      <c r="U412" s="109"/>
      <c r="V412" s="74"/>
      <c r="W412" s="109"/>
      <c r="X412" s="74"/>
      <c r="Y412" s="109"/>
      <c r="Z412" s="63"/>
    </row>
    <row r="413" spans="1:26" s="29" customFormat="1" ht="21.4" hidden="1" customHeight="1" x14ac:dyDescent="0.2">
      <c r="A413" s="30"/>
      <c r="H413" s="47"/>
      <c r="L413" s="34"/>
      <c r="N413" s="71"/>
      <c r="O413" s="72" t="s">
        <v>49</v>
      </c>
      <c r="P413" s="72"/>
      <c r="Q413" s="72"/>
      <c r="R413" s="72">
        <v>0</v>
      </c>
      <c r="S413" s="63"/>
      <c r="T413" s="72" t="s">
        <v>49</v>
      </c>
      <c r="U413" s="109"/>
      <c r="V413" s="74"/>
      <c r="W413" s="109"/>
      <c r="X413" s="74"/>
      <c r="Y413" s="109"/>
      <c r="Z413" s="63"/>
    </row>
    <row r="414" spans="1:26" s="29" customFormat="1" ht="21.4" hidden="1" customHeight="1" x14ac:dyDescent="0.2">
      <c r="A414" s="30"/>
      <c r="B414" s="472" t="s">
        <v>44</v>
      </c>
      <c r="C414" s="473"/>
      <c r="F414" s="48" t="s">
        <v>66</v>
      </c>
      <c r="G414" s="43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7"/>
      <c r="I414" s="49"/>
      <c r="J414" s="50" t="s">
        <v>63</v>
      </c>
      <c r="K414" s="51">
        <f>K410/$K$2*I414</f>
        <v>0</v>
      </c>
      <c r="L414" s="52"/>
      <c r="N414" s="71"/>
      <c r="O414" s="72" t="s">
        <v>50</v>
      </c>
      <c r="P414" s="72"/>
      <c r="Q414" s="72"/>
      <c r="R414" s="72">
        <v>0</v>
      </c>
      <c r="S414" s="63"/>
      <c r="T414" s="72" t="s">
        <v>50</v>
      </c>
      <c r="U414" s="109"/>
      <c r="V414" s="74"/>
      <c r="W414" s="109"/>
      <c r="X414" s="74"/>
      <c r="Y414" s="109"/>
      <c r="Z414" s="63"/>
    </row>
    <row r="415" spans="1:26" s="29" customFormat="1" ht="21.4" hidden="1" customHeight="1" x14ac:dyDescent="0.2">
      <c r="A415" s="30"/>
      <c r="B415" s="39"/>
      <c r="C415" s="39"/>
      <c r="F415" s="48" t="s">
        <v>22</v>
      </c>
      <c r="G415" s="43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7"/>
      <c r="I415" s="84"/>
      <c r="J415" s="50" t="s">
        <v>64</v>
      </c>
      <c r="K415" s="53">
        <f>K410/$K$2/8*I415</f>
        <v>0</v>
      </c>
      <c r="L415" s="54"/>
      <c r="N415" s="71"/>
      <c r="O415" s="72" t="s">
        <v>51</v>
      </c>
      <c r="P415" s="72"/>
      <c r="Q415" s="72"/>
      <c r="R415" s="72">
        <v>0</v>
      </c>
      <c r="S415" s="63"/>
      <c r="T415" s="72" t="s">
        <v>51</v>
      </c>
      <c r="U415" s="109"/>
      <c r="V415" s="74"/>
      <c r="W415" s="109"/>
      <c r="X415" s="74"/>
      <c r="Y415" s="109"/>
      <c r="Z415" s="63"/>
    </row>
    <row r="416" spans="1:26" s="29" customFormat="1" ht="21.4" hidden="1" customHeight="1" x14ac:dyDescent="0.2">
      <c r="A416" s="30"/>
      <c r="B416" s="48" t="s">
        <v>7</v>
      </c>
      <c r="C416" s="39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F416" s="48" t="s">
        <v>67</v>
      </c>
      <c r="G416" s="43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7"/>
      <c r="I416" s="456" t="s">
        <v>71</v>
      </c>
      <c r="J416" s="457"/>
      <c r="K416" s="53">
        <f>K414+K415</f>
        <v>0</v>
      </c>
      <c r="L416" s="54"/>
      <c r="N416" s="71"/>
      <c r="O416" s="72" t="s">
        <v>52</v>
      </c>
      <c r="P416" s="72"/>
      <c r="Q416" s="72"/>
      <c r="R416" s="72">
        <v>0</v>
      </c>
      <c r="S416" s="63"/>
      <c r="T416" s="72" t="s">
        <v>52</v>
      </c>
      <c r="U416" s="109"/>
      <c r="V416" s="74"/>
      <c r="W416" s="109"/>
      <c r="X416" s="74"/>
      <c r="Y416" s="109"/>
      <c r="Z416" s="63"/>
    </row>
    <row r="417" spans="1:26" s="29" customFormat="1" ht="21.4" hidden="1" customHeight="1" x14ac:dyDescent="0.2">
      <c r="A417" s="30"/>
      <c r="B417" s="48" t="s">
        <v>6</v>
      </c>
      <c r="C417" s="39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F417" s="48" t="s">
        <v>23</v>
      </c>
      <c r="G417" s="43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7"/>
      <c r="I417" s="456" t="s">
        <v>72</v>
      </c>
      <c r="J417" s="457"/>
      <c r="K417" s="43">
        <f>G417</f>
        <v>0</v>
      </c>
      <c r="L417" s="55"/>
      <c r="N417" s="71"/>
      <c r="O417" s="72" t="s">
        <v>53</v>
      </c>
      <c r="P417" s="72"/>
      <c r="Q417" s="72"/>
      <c r="R417" s="72">
        <v>0</v>
      </c>
      <c r="S417" s="63"/>
      <c r="T417" s="72" t="s">
        <v>53</v>
      </c>
      <c r="U417" s="109"/>
      <c r="V417" s="74"/>
      <c r="W417" s="109"/>
      <c r="X417" s="74"/>
      <c r="Y417" s="109"/>
      <c r="Z417" s="63"/>
    </row>
    <row r="418" spans="1:26" s="29" customFormat="1" ht="21.4" hidden="1" customHeight="1" x14ac:dyDescent="0.2">
      <c r="A418" s="30"/>
      <c r="B418" s="56" t="s">
        <v>70</v>
      </c>
      <c r="C418" s="39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F418" s="48" t="s">
        <v>69</v>
      </c>
      <c r="G418" s="43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I418" s="458" t="s">
        <v>65</v>
      </c>
      <c r="J418" s="459"/>
      <c r="K418" s="57">
        <f>K416-K417</f>
        <v>0</v>
      </c>
      <c r="L418" s="58"/>
      <c r="N418" s="71"/>
      <c r="O418" s="72" t="s">
        <v>58</v>
      </c>
      <c r="P418" s="72"/>
      <c r="Q418" s="72"/>
      <c r="R418" s="72">
        <v>0</v>
      </c>
      <c r="S418" s="63"/>
      <c r="T418" s="72" t="s">
        <v>58</v>
      </c>
      <c r="U418" s="109"/>
      <c r="V418" s="74"/>
      <c r="W418" s="109"/>
      <c r="X418" s="74"/>
      <c r="Y418" s="109"/>
      <c r="Z418" s="63"/>
    </row>
    <row r="419" spans="1:26" s="29" customFormat="1" ht="21.4" hidden="1" customHeight="1" x14ac:dyDescent="0.2">
      <c r="A419" s="30"/>
      <c r="L419" s="46"/>
      <c r="N419" s="71"/>
      <c r="O419" s="72" t="s">
        <v>54</v>
      </c>
      <c r="P419" s="72"/>
      <c r="Q419" s="72"/>
      <c r="R419" s="72">
        <v>0</v>
      </c>
      <c r="S419" s="63"/>
      <c r="T419" s="72" t="s">
        <v>54</v>
      </c>
      <c r="U419" s="109"/>
      <c r="V419" s="74"/>
      <c r="W419" s="109"/>
      <c r="X419" s="74"/>
      <c r="Y419" s="109"/>
      <c r="Z419" s="63"/>
    </row>
    <row r="420" spans="1:26" s="29" customFormat="1" ht="21.4" hidden="1" customHeight="1" x14ac:dyDescent="0.2">
      <c r="A420" s="30"/>
      <c r="B420" s="455" t="s">
        <v>94</v>
      </c>
      <c r="C420" s="455"/>
      <c r="D420" s="455"/>
      <c r="E420" s="455"/>
      <c r="F420" s="455"/>
      <c r="G420" s="455"/>
      <c r="H420" s="455"/>
      <c r="I420" s="455"/>
      <c r="J420" s="455"/>
      <c r="K420" s="455"/>
      <c r="L420" s="46"/>
      <c r="N420" s="71"/>
      <c r="O420" s="72" t="s">
        <v>59</v>
      </c>
      <c r="P420" s="72"/>
      <c r="Q420" s="72"/>
      <c r="R420" s="72">
        <v>0</v>
      </c>
      <c r="S420" s="63"/>
      <c r="T420" s="72" t="s">
        <v>59</v>
      </c>
      <c r="U420" s="109"/>
      <c r="V420" s="74"/>
      <c r="W420" s="109"/>
      <c r="X420" s="74"/>
      <c r="Y420" s="109"/>
      <c r="Z420" s="63"/>
    </row>
    <row r="421" spans="1:26" s="29" customFormat="1" ht="21.4" hidden="1" customHeight="1" x14ac:dyDescent="0.2">
      <c r="A421" s="30"/>
      <c r="B421" s="455"/>
      <c r="C421" s="455"/>
      <c r="D421" s="455"/>
      <c r="E421" s="455"/>
      <c r="F421" s="455"/>
      <c r="G421" s="455"/>
      <c r="H421" s="455"/>
      <c r="I421" s="455"/>
      <c r="J421" s="455"/>
      <c r="K421" s="455"/>
      <c r="L421" s="46"/>
      <c r="N421" s="71"/>
      <c r="O421" s="72" t="s">
        <v>60</v>
      </c>
      <c r="P421" s="72"/>
      <c r="Q421" s="72"/>
      <c r="R421" s="72" t="str">
        <f t="shared" ref="R421" si="82">IF(Q421="","",R420-Q421)</f>
        <v/>
      </c>
      <c r="S421" s="63"/>
      <c r="T421" s="72" t="s">
        <v>60</v>
      </c>
      <c r="U421" s="109"/>
      <c r="V421" s="74"/>
      <c r="W421" s="109"/>
      <c r="X421" s="74"/>
      <c r="Y421" s="109"/>
      <c r="Z421" s="63"/>
    </row>
    <row r="422" spans="1:26" s="29" customFormat="1" ht="21.4" hidden="1" customHeight="1" thickBot="1" x14ac:dyDescent="0.25">
      <c r="A422" s="5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1"/>
      <c r="N422" s="77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63"/>
    </row>
    <row r="423" spans="1:26" s="29" customFormat="1" ht="21" customHeight="1" x14ac:dyDescent="0.2">
      <c r="A423" s="460" t="s">
        <v>42</v>
      </c>
      <c r="B423" s="461"/>
      <c r="C423" s="461"/>
      <c r="D423" s="461"/>
      <c r="E423" s="461"/>
      <c r="F423" s="461"/>
      <c r="G423" s="461"/>
      <c r="H423" s="461"/>
      <c r="I423" s="461"/>
      <c r="J423" s="461"/>
      <c r="K423" s="461"/>
      <c r="L423" s="462"/>
      <c r="M423" s="28"/>
      <c r="N423" s="64"/>
      <c r="O423" s="469" t="s">
        <v>44</v>
      </c>
      <c r="P423" s="470"/>
      <c r="Q423" s="470"/>
      <c r="R423" s="471"/>
      <c r="S423" s="65"/>
      <c r="T423" s="469" t="s">
        <v>45</v>
      </c>
      <c r="U423" s="470"/>
      <c r="V423" s="470"/>
      <c r="W423" s="470"/>
      <c r="X423" s="470"/>
      <c r="Y423" s="471"/>
      <c r="Z423" s="66"/>
    </row>
    <row r="424" spans="1:26" s="29" customFormat="1" ht="21" customHeight="1" x14ac:dyDescent="0.2">
      <c r="A424" s="30"/>
      <c r="C424" s="466" t="s">
        <v>92</v>
      </c>
      <c r="D424" s="466"/>
      <c r="E424" s="466"/>
      <c r="F424" s="466"/>
      <c r="G424" s="31" t="str">
        <f>$J$1</f>
        <v>October</v>
      </c>
      <c r="H424" s="467">
        <f>$K$1</f>
        <v>2022</v>
      </c>
      <c r="I424" s="467"/>
      <c r="K424" s="32"/>
      <c r="L424" s="33"/>
      <c r="M424" s="32"/>
      <c r="N424" s="67"/>
      <c r="O424" s="68" t="s">
        <v>55</v>
      </c>
      <c r="P424" s="68" t="s">
        <v>7</v>
      </c>
      <c r="Q424" s="68" t="s">
        <v>6</v>
      </c>
      <c r="R424" s="68" t="s">
        <v>56</v>
      </c>
      <c r="S424" s="69"/>
      <c r="T424" s="68" t="s">
        <v>55</v>
      </c>
      <c r="U424" s="68" t="s">
        <v>57</v>
      </c>
      <c r="V424" s="68" t="s">
        <v>22</v>
      </c>
      <c r="W424" s="68" t="s">
        <v>21</v>
      </c>
      <c r="X424" s="68" t="s">
        <v>23</v>
      </c>
      <c r="Y424" s="68" t="s">
        <v>61</v>
      </c>
      <c r="Z424" s="70"/>
    </row>
    <row r="425" spans="1:26" s="29" customFormat="1" ht="21" customHeight="1" x14ac:dyDescent="0.2">
      <c r="A425" s="30"/>
      <c r="D425" s="35"/>
      <c r="E425" s="35"/>
      <c r="F425" s="35"/>
      <c r="G425" s="35"/>
      <c r="H425" s="35"/>
      <c r="J425" s="36" t="s">
        <v>1</v>
      </c>
      <c r="K425" s="37">
        <f>25000+3000</f>
        <v>28000</v>
      </c>
      <c r="L425" s="38"/>
      <c r="N425" s="71"/>
      <c r="O425" s="72" t="s">
        <v>47</v>
      </c>
      <c r="P425" s="72">
        <v>28</v>
      </c>
      <c r="Q425" s="72">
        <v>3</v>
      </c>
      <c r="R425" s="72">
        <f>15-Q425</f>
        <v>12</v>
      </c>
      <c r="S425" s="73"/>
      <c r="T425" s="72" t="s">
        <v>47</v>
      </c>
      <c r="U425" s="74">
        <v>14000</v>
      </c>
      <c r="V425" s="74"/>
      <c r="W425" s="74">
        <f>V425+U425</f>
        <v>14000</v>
      </c>
      <c r="X425" s="74">
        <v>2000</v>
      </c>
      <c r="Y425" s="74">
        <f>W425-X425</f>
        <v>12000</v>
      </c>
      <c r="Z425" s="70"/>
    </row>
    <row r="426" spans="1:26" s="29" customFormat="1" ht="21" customHeight="1" x14ac:dyDescent="0.2">
      <c r="A426" s="30"/>
      <c r="B426" s="29" t="s">
        <v>0</v>
      </c>
      <c r="C426" s="40" t="s">
        <v>107</v>
      </c>
      <c r="H426" s="41"/>
      <c r="I426" s="35"/>
      <c r="L426" s="42"/>
      <c r="M426" s="28"/>
      <c r="N426" s="75"/>
      <c r="O426" s="72" t="s">
        <v>73</v>
      </c>
      <c r="P426" s="72">
        <v>28</v>
      </c>
      <c r="Q426" s="72">
        <v>0</v>
      </c>
      <c r="R426" s="72">
        <f t="shared" ref="R426:R436" si="83">IF(Q426="","",R425-Q426)</f>
        <v>12</v>
      </c>
      <c r="S426" s="63"/>
      <c r="T426" s="72" t="s">
        <v>73</v>
      </c>
      <c r="U426" s="109">
        <f t="shared" ref="U426:U431" si="84">Y425</f>
        <v>12000</v>
      </c>
      <c r="V426" s="74"/>
      <c r="W426" s="109">
        <f>IF(U426="","",U426+V426)</f>
        <v>12000</v>
      </c>
      <c r="X426" s="74">
        <v>2000</v>
      </c>
      <c r="Y426" s="109">
        <f>IF(W426="","",W426-X426)</f>
        <v>10000</v>
      </c>
      <c r="Z426" s="76"/>
    </row>
    <row r="427" spans="1:26" s="29" customFormat="1" ht="21" customHeight="1" x14ac:dyDescent="0.2">
      <c r="A427" s="30"/>
      <c r="B427" s="44" t="s">
        <v>43</v>
      </c>
      <c r="C427" s="40"/>
      <c r="F427" s="468" t="s">
        <v>45</v>
      </c>
      <c r="G427" s="468"/>
      <c r="I427" s="468" t="s">
        <v>46</v>
      </c>
      <c r="J427" s="468"/>
      <c r="K427" s="468"/>
      <c r="L427" s="46"/>
      <c r="N427" s="71"/>
      <c r="O427" s="72" t="s">
        <v>48</v>
      </c>
      <c r="P427" s="72">
        <v>27</v>
      </c>
      <c r="Q427" s="72">
        <v>4</v>
      </c>
      <c r="R427" s="72">
        <f t="shared" si="83"/>
        <v>8</v>
      </c>
      <c r="S427" s="63"/>
      <c r="T427" s="72" t="s">
        <v>48</v>
      </c>
      <c r="U427" s="109">
        <f t="shared" si="84"/>
        <v>10000</v>
      </c>
      <c r="V427" s="74">
        <v>2000</v>
      </c>
      <c r="W427" s="109">
        <f t="shared" ref="W427:W436" si="85">IF(U427="","",U427+V427)</f>
        <v>12000</v>
      </c>
      <c r="X427" s="74"/>
      <c r="Y427" s="109">
        <f t="shared" ref="Y427:Y436" si="86">IF(W427="","",W427-X427)</f>
        <v>12000</v>
      </c>
      <c r="Z427" s="76"/>
    </row>
    <row r="428" spans="1:26" s="29" customFormat="1" ht="21" customHeight="1" x14ac:dyDescent="0.2">
      <c r="A428" s="30"/>
      <c r="H428" s="47"/>
      <c r="L428" s="34"/>
      <c r="N428" s="71"/>
      <c r="O428" s="72" t="s">
        <v>49</v>
      </c>
      <c r="P428" s="72">
        <v>30</v>
      </c>
      <c r="Q428" s="72">
        <v>0</v>
      </c>
      <c r="R428" s="72">
        <f t="shared" si="83"/>
        <v>8</v>
      </c>
      <c r="S428" s="63"/>
      <c r="T428" s="72" t="s">
        <v>49</v>
      </c>
      <c r="U428" s="109">
        <f t="shared" si="84"/>
        <v>12000</v>
      </c>
      <c r="V428" s="74"/>
      <c r="W428" s="109">
        <f t="shared" si="85"/>
        <v>12000</v>
      </c>
      <c r="X428" s="74">
        <v>2000</v>
      </c>
      <c r="Y428" s="109">
        <f t="shared" si="86"/>
        <v>10000</v>
      </c>
      <c r="Z428" s="76"/>
    </row>
    <row r="429" spans="1:26" s="29" customFormat="1" ht="21" customHeight="1" x14ac:dyDescent="0.2">
      <c r="A429" s="30"/>
      <c r="B429" s="472" t="s">
        <v>44</v>
      </c>
      <c r="C429" s="473"/>
      <c r="F429" s="48" t="s">
        <v>66</v>
      </c>
      <c r="G429" s="43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4000</v>
      </c>
      <c r="H429" s="47"/>
      <c r="I429" s="49">
        <f>IF(C433&gt;0,$K$2,C431)</f>
        <v>30</v>
      </c>
      <c r="J429" s="50" t="s">
        <v>63</v>
      </c>
      <c r="K429" s="51">
        <f>K425/$K$2*I429</f>
        <v>27096.774193548386</v>
      </c>
      <c r="L429" s="52"/>
      <c r="N429" s="71"/>
      <c r="O429" s="72" t="s">
        <v>50</v>
      </c>
      <c r="P429" s="72">
        <v>29</v>
      </c>
      <c r="Q429" s="72">
        <v>2</v>
      </c>
      <c r="R429" s="72">
        <f t="shared" si="83"/>
        <v>6</v>
      </c>
      <c r="S429" s="63"/>
      <c r="T429" s="72" t="s">
        <v>50</v>
      </c>
      <c r="U429" s="109">
        <f t="shared" si="84"/>
        <v>10000</v>
      </c>
      <c r="V429" s="74"/>
      <c r="W429" s="109">
        <f t="shared" si="85"/>
        <v>10000</v>
      </c>
      <c r="X429" s="74">
        <v>2000</v>
      </c>
      <c r="Y429" s="109">
        <f t="shared" si="86"/>
        <v>8000</v>
      </c>
      <c r="Z429" s="76"/>
    </row>
    <row r="430" spans="1:26" s="29" customFormat="1" ht="21" customHeight="1" x14ac:dyDescent="0.2">
      <c r="A430" s="30"/>
      <c r="B430" s="39"/>
      <c r="C430" s="39"/>
      <c r="F430" s="48" t="s">
        <v>22</v>
      </c>
      <c r="G430" s="43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50</v>
      </c>
      <c r="H430" s="47"/>
      <c r="I430" s="138">
        <v>9</v>
      </c>
      <c r="J430" s="50" t="s">
        <v>64</v>
      </c>
      <c r="K430" s="53">
        <f>K425/$K$2/8*I430</f>
        <v>1016.1290322580645</v>
      </c>
      <c r="L430" s="54"/>
      <c r="N430" s="71"/>
      <c r="O430" s="72" t="s">
        <v>51</v>
      </c>
      <c r="P430" s="72">
        <v>29</v>
      </c>
      <c r="Q430" s="72">
        <v>1</v>
      </c>
      <c r="R430" s="72">
        <f t="shared" si="83"/>
        <v>5</v>
      </c>
      <c r="S430" s="63"/>
      <c r="T430" s="72" t="s">
        <v>51</v>
      </c>
      <c r="U430" s="109">
        <f t="shared" si="84"/>
        <v>8000</v>
      </c>
      <c r="V430" s="74"/>
      <c r="W430" s="109">
        <f t="shared" si="85"/>
        <v>8000</v>
      </c>
      <c r="X430" s="74">
        <v>2000</v>
      </c>
      <c r="Y430" s="109">
        <f t="shared" si="86"/>
        <v>6000</v>
      </c>
      <c r="Z430" s="76"/>
    </row>
    <row r="431" spans="1:26" s="29" customFormat="1" ht="21" customHeight="1" x14ac:dyDescent="0.2">
      <c r="A431" s="30"/>
      <c r="B431" s="48" t="s">
        <v>7</v>
      </c>
      <c r="C431" s="39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30</v>
      </c>
      <c r="F431" s="48" t="s">
        <v>67</v>
      </c>
      <c r="G431" s="43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4050</v>
      </c>
      <c r="H431" s="47"/>
      <c r="I431" s="456" t="s">
        <v>71</v>
      </c>
      <c r="J431" s="457"/>
      <c r="K431" s="53">
        <f>K429+K430</f>
        <v>28112.903225806451</v>
      </c>
      <c r="L431" s="54"/>
      <c r="N431" s="71"/>
      <c r="O431" s="72" t="s">
        <v>52</v>
      </c>
      <c r="P431" s="72">
        <v>29</v>
      </c>
      <c r="Q431" s="72">
        <v>2</v>
      </c>
      <c r="R431" s="72">
        <f t="shared" si="83"/>
        <v>3</v>
      </c>
      <c r="S431" s="63"/>
      <c r="T431" s="72" t="s">
        <v>52</v>
      </c>
      <c r="U431" s="109">
        <f t="shared" si="84"/>
        <v>6000</v>
      </c>
      <c r="V431" s="74"/>
      <c r="W431" s="109">
        <f t="shared" si="85"/>
        <v>6000</v>
      </c>
      <c r="X431" s="74">
        <v>2000</v>
      </c>
      <c r="Y431" s="109">
        <f t="shared" si="86"/>
        <v>4000</v>
      </c>
      <c r="Z431" s="76"/>
    </row>
    <row r="432" spans="1:26" s="29" customFormat="1" ht="21" customHeight="1" x14ac:dyDescent="0.2">
      <c r="A432" s="30"/>
      <c r="B432" s="48" t="s">
        <v>6</v>
      </c>
      <c r="C432" s="39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1</v>
      </c>
      <c r="F432" s="48" t="s">
        <v>23</v>
      </c>
      <c r="G432" s="43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2000</v>
      </c>
      <c r="H432" s="47"/>
      <c r="I432" s="456" t="s">
        <v>72</v>
      </c>
      <c r="J432" s="457"/>
      <c r="K432" s="43">
        <f>G432</f>
        <v>2000</v>
      </c>
      <c r="L432" s="55"/>
      <c r="N432" s="71"/>
      <c r="O432" s="72" t="s">
        <v>53</v>
      </c>
      <c r="P432" s="72">
        <v>25</v>
      </c>
      <c r="Q432" s="72">
        <v>6</v>
      </c>
      <c r="R432" s="72">
        <v>0</v>
      </c>
      <c r="S432" s="63"/>
      <c r="T432" s="72" t="s">
        <v>53</v>
      </c>
      <c r="U432" s="109">
        <f>Y431</f>
        <v>4000</v>
      </c>
      <c r="V432" s="74">
        <v>2000</v>
      </c>
      <c r="W432" s="109">
        <f t="shared" si="85"/>
        <v>6000</v>
      </c>
      <c r="X432" s="74"/>
      <c r="Y432" s="109">
        <f t="shared" si="86"/>
        <v>6000</v>
      </c>
      <c r="Z432" s="76"/>
    </row>
    <row r="433" spans="1:26" s="29" customFormat="1" ht="21" customHeight="1" x14ac:dyDescent="0.2">
      <c r="A433" s="30"/>
      <c r="B433" s="56" t="s">
        <v>70</v>
      </c>
      <c r="C433" s="39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0</v>
      </c>
      <c r="F433" s="48" t="s">
        <v>69</v>
      </c>
      <c r="G433" s="43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2050</v>
      </c>
      <c r="I433" s="458" t="s">
        <v>65</v>
      </c>
      <c r="J433" s="459"/>
      <c r="K433" s="57">
        <f>K431-K432</f>
        <v>26112.903225806451</v>
      </c>
      <c r="L433" s="58"/>
      <c r="N433" s="71"/>
      <c r="O433" s="72" t="s">
        <v>58</v>
      </c>
      <c r="P433" s="72">
        <v>28</v>
      </c>
      <c r="Q433" s="72">
        <v>2</v>
      </c>
      <c r="R433" s="72">
        <v>0</v>
      </c>
      <c r="S433" s="63"/>
      <c r="T433" s="72" t="s">
        <v>58</v>
      </c>
      <c r="U433" s="109">
        <f>Y432</f>
        <v>6000</v>
      </c>
      <c r="V433" s="74"/>
      <c r="W433" s="109">
        <f t="shared" si="85"/>
        <v>6000</v>
      </c>
      <c r="X433" s="74">
        <v>2000</v>
      </c>
      <c r="Y433" s="109">
        <f t="shared" si="86"/>
        <v>4000</v>
      </c>
      <c r="Z433" s="76"/>
    </row>
    <row r="434" spans="1:26" s="29" customFormat="1" ht="21" customHeight="1" x14ac:dyDescent="0.2">
      <c r="A434" s="30"/>
      <c r="K434" s="113"/>
      <c r="L434" s="46"/>
      <c r="N434" s="71"/>
      <c r="O434" s="72" t="s">
        <v>54</v>
      </c>
      <c r="P434" s="72">
        <v>30</v>
      </c>
      <c r="Q434" s="72">
        <v>1</v>
      </c>
      <c r="R434" s="72">
        <v>0</v>
      </c>
      <c r="S434" s="63"/>
      <c r="T434" s="72" t="s">
        <v>54</v>
      </c>
      <c r="U434" s="109">
        <f>Y433</f>
        <v>4000</v>
      </c>
      <c r="V434" s="74">
        <v>50</v>
      </c>
      <c r="W434" s="109">
        <f t="shared" si="85"/>
        <v>4050</v>
      </c>
      <c r="X434" s="74">
        <v>2000</v>
      </c>
      <c r="Y434" s="109">
        <f t="shared" si="86"/>
        <v>2050</v>
      </c>
      <c r="Z434" s="76"/>
    </row>
    <row r="435" spans="1:26" s="29" customFormat="1" ht="21" customHeight="1" x14ac:dyDescent="0.2">
      <c r="A435" s="30"/>
      <c r="B435" s="455" t="s">
        <v>94</v>
      </c>
      <c r="C435" s="455"/>
      <c r="D435" s="455"/>
      <c r="E435" s="455"/>
      <c r="F435" s="455"/>
      <c r="G435" s="455"/>
      <c r="H435" s="455"/>
      <c r="I435" s="455"/>
      <c r="J435" s="455"/>
      <c r="K435" s="455"/>
      <c r="L435" s="46"/>
      <c r="N435" s="71"/>
      <c r="O435" s="72" t="s">
        <v>59</v>
      </c>
      <c r="P435" s="72"/>
      <c r="Q435" s="72"/>
      <c r="R435" s="72" t="str">
        <f t="shared" si="83"/>
        <v/>
      </c>
      <c r="S435" s="63"/>
      <c r="T435" s="72" t="s">
        <v>59</v>
      </c>
      <c r="U435" s="109"/>
      <c r="V435" s="74"/>
      <c r="W435" s="109" t="str">
        <f t="shared" si="85"/>
        <v/>
      </c>
      <c r="X435" s="74"/>
      <c r="Y435" s="109" t="str">
        <f t="shared" si="86"/>
        <v/>
      </c>
      <c r="Z435" s="76"/>
    </row>
    <row r="436" spans="1:26" s="29" customFormat="1" ht="21" customHeight="1" x14ac:dyDescent="0.2">
      <c r="A436" s="30"/>
      <c r="B436" s="455"/>
      <c r="C436" s="455"/>
      <c r="D436" s="455"/>
      <c r="E436" s="455"/>
      <c r="F436" s="455"/>
      <c r="G436" s="455"/>
      <c r="H436" s="455"/>
      <c r="I436" s="455"/>
      <c r="J436" s="455"/>
      <c r="K436" s="455"/>
      <c r="L436" s="46"/>
      <c r="N436" s="71"/>
      <c r="O436" s="72" t="s">
        <v>60</v>
      </c>
      <c r="P436" s="72"/>
      <c r="Q436" s="72"/>
      <c r="R436" s="72" t="str">
        <f t="shared" si="83"/>
        <v/>
      </c>
      <c r="S436" s="63"/>
      <c r="T436" s="72" t="s">
        <v>60</v>
      </c>
      <c r="U436" s="109"/>
      <c r="V436" s="74"/>
      <c r="W436" s="109" t="str">
        <f t="shared" si="85"/>
        <v/>
      </c>
      <c r="X436" s="74"/>
      <c r="Y436" s="109" t="str">
        <f t="shared" si="86"/>
        <v/>
      </c>
      <c r="Z436" s="76"/>
    </row>
    <row r="437" spans="1:26" s="29" customFormat="1" ht="21" customHeight="1" thickBot="1" x14ac:dyDescent="0.25">
      <c r="A437" s="5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1"/>
      <c r="N437" s="77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9"/>
    </row>
    <row r="438" spans="1:26" s="29" customFormat="1" ht="21" customHeight="1" thickBot="1" x14ac:dyDescent="0.25"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s="29" customFormat="1" ht="21" customHeight="1" x14ac:dyDescent="0.2">
      <c r="A439" s="463" t="s">
        <v>42</v>
      </c>
      <c r="B439" s="464"/>
      <c r="C439" s="464"/>
      <c r="D439" s="464"/>
      <c r="E439" s="464"/>
      <c r="F439" s="464"/>
      <c r="G439" s="464"/>
      <c r="H439" s="464"/>
      <c r="I439" s="464"/>
      <c r="J439" s="464"/>
      <c r="K439" s="464"/>
      <c r="L439" s="465"/>
      <c r="M439" s="28"/>
      <c r="N439" s="64"/>
      <c r="O439" s="469" t="s">
        <v>44</v>
      </c>
      <c r="P439" s="470"/>
      <c r="Q439" s="470"/>
      <c r="R439" s="471"/>
      <c r="S439" s="65"/>
      <c r="T439" s="469" t="s">
        <v>45</v>
      </c>
      <c r="U439" s="470"/>
      <c r="V439" s="470"/>
      <c r="W439" s="470"/>
      <c r="X439" s="470"/>
      <c r="Y439" s="471"/>
      <c r="Z439" s="66"/>
    </row>
    <row r="440" spans="1:26" s="29" customFormat="1" ht="21" customHeight="1" x14ac:dyDescent="0.2">
      <c r="A440" s="30"/>
      <c r="C440" s="466" t="s">
        <v>92</v>
      </c>
      <c r="D440" s="466"/>
      <c r="E440" s="466"/>
      <c r="F440" s="466"/>
      <c r="G440" s="31" t="str">
        <f>$J$1</f>
        <v>October</v>
      </c>
      <c r="H440" s="467">
        <f>$K$1</f>
        <v>2022</v>
      </c>
      <c r="I440" s="467"/>
      <c r="K440" s="32"/>
      <c r="L440" s="33"/>
      <c r="M440" s="32"/>
      <c r="N440" s="67"/>
      <c r="O440" s="68" t="s">
        <v>55</v>
      </c>
      <c r="P440" s="68" t="s">
        <v>7</v>
      </c>
      <c r="Q440" s="68" t="s">
        <v>6</v>
      </c>
      <c r="R440" s="68" t="s">
        <v>56</v>
      </c>
      <c r="S440" s="69"/>
      <c r="T440" s="68" t="s">
        <v>55</v>
      </c>
      <c r="U440" s="68" t="s">
        <v>57</v>
      </c>
      <c r="V440" s="68" t="s">
        <v>22</v>
      </c>
      <c r="W440" s="68" t="s">
        <v>21</v>
      </c>
      <c r="X440" s="68" t="s">
        <v>23</v>
      </c>
      <c r="Y440" s="68" t="s">
        <v>61</v>
      </c>
      <c r="Z440" s="70"/>
    </row>
    <row r="441" spans="1:26" s="29" customFormat="1" ht="21" customHeight="1" x14ac:dyDescent="0.2">
      <c r="A441" s="30"/>
      <c r="D441" s="35"/>
      <c r="E441" s="35"/>
      <c r="F441" s="35"/>
      <c r="G441" s="35"/>
      <c r="H441" s="35"/>
      <c r="J441" s="36" t="s">
        <v>1</v>
      </c>
      <c r="K441" s="37">
        <f>22000+2000</f>
        <v>24000</v>
      </c>
      <c r="L441" s="38"/>
      <c r="N441" s="71"/>
      <c r="O441" s="72" t="s">
        <v>47</v>
      </c>
      <c r="P441" s="72">
        <v>24</v>
      </c>
      <c r="Q441" s="72">
        <v>7</v>
      </c>
      <c r="R441" s="72">
        <f>15-Q441</f>
        <v>8</v>
      </c>
      <c r="S441" s="73"/>
      <c r="T441" s="72" t="s">
        <v>47</v>
      </c>
      <c r="U441" s="74">
        <v>10800</v>
      </c>
      <c r="V441" s="74">
        <f>3000+1000+2000</f>
        <v>6000</v>
      </c>
      <c r="W441" s="74">
        <f>V441+U441</f>
        <v>16800</v>
      </c>
      <c r="X441" s="74">
        <v>3000</v>
      </c>
      <c r="Y441" s="74">
        <f>W441-X441</f>
        <v>13800</v>
      </c>
      <c r="Z441" s="70"/>
    </row>
    <row r="442" spans="1:26" s="29" customFormat="1" ht="21" customHeight="1" x14ac:dyDescent="0.2">
      <c r="A442" s="30"/>
      <c r="B442" s="29" t="s">
        <v>0</v>
      </c>
      <c r="C442" s="40" t="s">
        <v>93</v>
      </c>
      <c r="H442" s="41"/>
      <c r="I442" s="35"/>
      <c r="L442" s="42"/>
      <c r="M442" s="28"/>
      <c r="N442" s="75"/>
      <c r="O442" s="72" t="s">
        <v>73</v>
      </c>
      <c r="P442" s="72">
        <v>21</v>
      </c>
      <c r="Q442" s="72">
        <v>7</v>
      </c>
      <c r="R442" s="72">
        <f t="shared" ref="R442:R452" si="87">IF(Q442="","",R441-Q442)</f>
        <v>1</v>
      </c>
      <c r="S442" s="63"/>
      <c r="T442" s="72" t="s">
        <v>73</v>
      </c>
      <c r="U442" s="109">
        <f t="shared" ref="U442:U447" si="88">Y441</f>
        <v>13800</v>
      </c>
      <c r="V442" s="74">
        <f>4000+2000</f>
        <v>6000</v>
      </c>
      <c r="W442" s="109">
        <f>IF(U442="","",U442+V442)</f>
        <v>19800</v>
      </c>
      <c r="X442" s="74">
        <v>5000</v>
      </c>
      <c r="Y442" s="109">
        <f>IF(W442="","",W442-X442)</f>
        <v>14800</v>
      </c>
      <c r="Z442" s="76"/>
    </row>
    <row r="443" spans="1:26" s="29" customFormat="1" ht="21" customHeight="1" x14ac:dyDescent="0.2">
      <c r="A443" s="30"/>
      <c r="B443" s="44" t="s">
        <v>43</v>
      </c>
      <c r="C443" s="40"/>
      <c r="F443" s="468" t="s">
        <v>45</v>
      </c>
      <c r="G443" s="468"/>
      <c r="I443" s="468" t="s">
        <v>46</v>
      </c>
      <c r="J443" s="468"/>
      <c r="K443" s="468"/>
      <c r="L443" s="46"/>
      <c r="N443" s="71"/>
      <c r="O443" s="72" t="s">
        <v>48</v>
      </c>
      <c r="P443" s="72">
        <v>27</v>
      </c>
      <c r="Q443" s="72">
        <v>4</v>
      </c>
      <c r="R443" s="72">
        <v>0</v>
      </c>
      <c r="S443" s="63"/>
      <c r="T443" s="72" t="s">
        <v>48</v>
      </c>
      <c r="U443" s="109">
        <f t="shared" si="88"/>
        <v>14800</v>
      </c>
      <c r="V443" s="74">
        <f>2500+1000+1000+3000</f>
        <v>7500</v>
      </c>
      <c r="W443" s="109">
        <f t="shared" ref="W443:W452" si="89">IF(U443="","",U443+V443)</f>
        <v>22300</v>
      </c>
      <c r="X443" s="74">
        <v>10000</v>
      </c>
      <c r="Y443" s="109">
        <f t="shared" ref="Y443:Y452" si="90">IF(W443="","",W443-X443)</f>
        <v>12300</v>
      </c>
      <c r="Z443" s="76"/>
    </row>
    <row r="444" spans="1:26" s="29" customFormat="1" ht="21" customHeight="1" x14ac:dyDescent="0.2">
      <c r="A444" s="30"/>
      <c r="H444" s="47"/>
      <c r="L444" s="34"/>
      <c r="N444" s="71"/>
      <c r="O444" s="72" t="s">
        <v>49</v>
      </c>
      <c r="P444" s="72">
        <v>28</v>
      </c>
      <c r="Q444" s="72">
        <v>2</v>
      </c>
      <c r="R444" s="72">
        <v>0</v>
      </c>
      <c r="S444" s="63"/>
      <c r="T444" s="72" t="s">
        <v>49</v>
      </c>
      <c r="U444" s="109">
        <f t="shared" si="88"/>
        <v>12300</v>
      </c>
      <c r="V444" s="74">
        <f>1000+1000+1000+10000</f>
        <v>13000</v>
      </c>
      <c r="W444" s="109">
        <f t="shared" si="89"/>
        <v>25300</v>
      </c>
      <c r="X444" s="74">
        <v>10000</v>
      </c>
      <c r="Y444" s="109">
        <f t="shared" si="90"/>
        <v>15300</v>
      </c>
      <c r="Z444" s="76"/>
    </row>
    <row r="445" spans="1:26" s="29" customFormat="1" ht="21" customHeight="1" x14ac:dyDescent="0.2">
      <c r="A445" s="30"/>
      <c r="B445" s="472" t="s">
        <v>44</v>
      </c>
      <c r="C445" s="473"/>
      <c r="F445" s="48" t="s">
        <v>66</v>
      </c>
      <c r="G445" s="97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5900</v>
      </c>
      <c r="H445" s="47"/>
      <c r="I445" s="49">
        <f>IF(C449&gt;0,$K$2,C447)</f>
        <v>8</v>
      </c>
      <c r="J445" s="50" t="s">
        <v>63</v>
      </c>
      <c r="K445" s="51">
        <f>K441/$K$2*I445</f>
        <v>6193.5483870967746</v>
      </c>
      <c r="L445" s="52"/>
      <c r="N445" s="71"/>
      <c r="O445" s="72" t="s">
        <v>50</v>
      </c>
      <c r="P445" s="72">
        <v>26</v>
      </c>
      <c r="Q445" s="72">
        <v>5</v>
      </c>
      <c r="R445" s="72">
        <v>0</v>
      </c>
      <c r="S445" s="63"/>
      <c r="T445" s="72" t="s">
        <v>50</v>
      </c>
      <c r="U445" s="109">
        <f t="shared" si="88"/>
        <v>15300</v>
      </c>
      <c r="V445" s="74">
        <f>2000+2000</f>
        <v>4000</v>
      </c>
      <c r="W445" s="109">
        <f t="shared" si="89"/>
        <v>19300</v>
      </c>
      <c r="X445" s="74">
        <v>10000</v>
      </c>
      <c r="Y445" s="109">
        <f t="shared" si="90"/>
        <v>9300</v>
      </c>
      <c r="Z445" s="76"/>
    </row>
    <row r="446" spans="1:26" s="29" customFormat="1" ht="21" customHeight="1" x14ac:dyDescent="0.2">
      <c r="A446" s="30"/>
      <c r="B446" s="39"/>
      <c r="C446" s="39"/>
      <c r="F446" s="48" t="s">
        <v>22</v>
      </c>
      <c r="G446" s="97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0</v>
      </c>
      <c r="H446" s="47"/>
      <c r="I446" s="84">
        <v>18</v>
      </c>
      <c r="J446" s="50" t="s">
        <v>64</v>
      </c>
      <c r="K446" s="53">
        <f>K441/$K$2/8*I446</f>
        <v>1741.9354838709678</v>
      </c>
      <c r="L446" s="54"/>
      <c r="N446" s="71"/>
      <c r="O446" s="72" t="s">
        <v>51</v>
      </c>
      <c r="P446" s="72">
        <v>16</v>
      </c>
      <c r="Q446" s="72">
        <v>14</v>
      </c>
      <c r="R446" s="72">
        <v>0</v>
      </c>
      <c r="S446" s="63"/>
      <c r="T446" s="72" t="s">
        <v>51</v>
      </c>
      <c r="U446" s="109">
        <f t="shared" si="88"/>
        <v>9300</v>
      </c>
      <c r="V446" s="74">
        <f>2000+3000+2000+1000+1000+1000</f>
        <v>10000</v>
      </c>
      <c r="W446" s="109">
        <f t="shared" si="89"/>
        <v>19300</v>
      </c>
      <c r="X446" s="74">
        <v>7000</v>
      </c>
      <c r="Y446" s="109">
        <f t="shared" si="90"/>
        <v>12300</v>
      </c>
      <c r="Z446" s="76"/>
    </row>
    <row r="447" spans="1:26" s="29" customFormat="1" ht="21" customHeight="1" x14ac:dyDescent="0.2">
      <c r="A447" s="30"/>
      <c r="B447" s="48" t="s">
        <v>7</v>
      </c>
      <c r="C447" s="39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8</v>
      </c>
      <c r="F447" s="48" t="s">
        <v>67</v>
      </c>
      <c r="G447" s="97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5900</v>
      </c>
      <c r="H447" s="47"/>
      <c r="I447" s="456" t="s">
        <v>71</v>
      </c>
      <c r="J447" s="457"/>
      <c r="K447" s="53">
        <f>K445+K446</f>
        <v>7935.4838709677424</v>
      </c>
      <c r="L447" s="54"/>
      <c r="N447" s="71"/>
      <c r="O447" s="72" t="s">
        <v>52</v>
      </c>
      <c r="P447" s="72">
        <v>25</v>
      </c>
      <c r="Q447" s="72">
        <v>6</v>
      </c>
      <c r="R447" s="72">
        <v>0</v>
      </c>
      <c r="S447" s="63"/>
      <c r="T447" s="72" t="s">
        <v>52</v>
      </c>
      <c r="U447" s="109">
        <f t="shared" si="88"/>
        <v>12300</v>
      </c>
      <c r="V447" s="74">
        <f>1000+8000</f>
        <v>9000</v>
      </c>
      <c r="W447" s="109">
        <f t="shared" si="89"/>
        <v>21300</v>
      </c>
      <c r="X447" s="74">
        <v>7000</v>
      </c>
      <c r="Y447" s="109">
        <f t="shared" si="90"/>
        <v>14300</v>
      </c>
      <c r="Z447" s="76"/>
    </row>
    <row r="448" spans="1:26" s="29" customFormat="1" ht="21" customHeight="1" x14ac:dyDescent="0.2">
      <c r="A448" s="30"/>
      <c r="B448" s="48" t="s">
        <v>6</v>
      </c>
      <c r="C448" s="39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23</v>
      </c>
      <c r="F448" s="48" t="s">
        <v>23</v>
      </c>
      <c r="G448" s="97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5900</v>
      </c>
      <c r="H448" s="47"/>
      <c r="I448" s="456" t="s">
        <v>72</v>
      </c>
      <c r="J448" s="457"/>
      <c r="K448" s="43">
        <f>G448</f>
        <v>5900</v>
      </c>
      <c r="L448" s="55"/>
      <c r="N448" s="71"/>
      <c r="O448" s="72" t="s">
        <v>53</v>
      </c>
      <c r="P448" s="72">
        <v>18</v>
      </c>
      <c r="Q448" s="72">
        <v>13</v>
      </c>
      <c r="R448" s="72">
        <v>0</v>
      </c>
      <c r="S448" s="63"/>
      <c r="T448" s="72" t="s">
        <v>53</v>
      </c>
      <c r="U448" s="109">
        <f>Y447</f>
        <v>14300</v>
      </c>
      <c r="V448" s="74">
        <f>2000+3600</f>
        <v>5600</v>
      </c>
      <c r="W448" s="109">
        <f t="shared" si="89"/>
        <v>19900</v>
      </c>
      <c r="X448" s="74">
        <v>7000</v>
      </c>
      <c r="Y448" s="109">
        <f t="shared" si="90"/>
        <v>12900</v>
      </c>
      <c r="Z448" s="76"/>
    </row>
    <row r="449" spans="1:27" s="29" customFormat="1" ht="21" customHeight="1" x14ac:dyDescent="0.2">
      <c r="A449" s="30"/>
      <c r="B449" s="56" t="s">
        <v>70</v>
      </c>
      <c r="C449" s="39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F449" s="48" t="s">
        <v>69</v>
      </c>
      <c r="G449" s="97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0</v>
      </c>
      <c r="I449" s="458" t="s">
        <v>65</v>
      </c>
      <c r="J449" s="459"/>
      <c r="K449" s="57">
        <f>K447-K448</f>
        <v>2035.4838709677424</v>
      </c>
      <c r="L449" s="58"/>
      <c r="N449" s="71"/>
      <c r="O449" s="72" t="s">
        <v>58</v>
      </c>
      <c r="P449" s="72"/>
      <c r="Q449" s="72"/>
      <c r="R449" s="72">
        <v>0</v>
      </c>
      <c r="S449" s="63"/>
      <c r="T449" s="72" t="s">
        <v>58</v>
      </c>
      <c r="U449" s="109">
        <f>Y448</f>
        <v>12900</v>
      </c>
      <c r="V449" s="74"/>
      <c r="W449" s="109">
        <f t="shared" si="89"/>
        <v>12900</v>
      </c>
      <c r="X449" s="74">
        <v>7000</v>
      </c>
      <c r="Y449" s="109">
        <f t="shared" si="90"/>
        <v>5900</v>
      </c>
      <c r="Z449" s="76"/>
    </row>
    <row r="450" spans="1:27" s="29" customFormat="1" ht="21" customHeight="1" x14ac:dyDescent="0.2">
      <c r="A450" s="30"/>
      <c r="K450" s="113"/>
      <c r="L450" s="46"/>
      <c r="N450" s="71"/>
      <c r="O450" s="72" t="s">
        <v>54</v>
      </c>
      <c r="P450" s="72">
        <v>8</v>
      </c>
      <c r="Q450" s="72">
        <v>23</v>
      </c>
      <c r="R450" s="72">
        <v>0</v>
      </c>
      <c r="S450" s="63"/>
      <c r="T450" s="72" t="s">
        <v>54</v>
      </c>
      <c r="U450" s="109">
        <f>Y449</f>
        <v>5900</v>
      </c>
      <c r="V450" s="74"/>
      <c r="W450" s="109">
        <f t="shared" si="89"/>
        <v>5900</v>
      </c>
      <c r="X450" s="74">
        <v>5900</v>
      </c>
      <c r="Y450" s="109">
        <f t="shared" si="90"/>
        <v>0</v>
      </c>
      <c r="Z450" s="76"/>
    </row>
    <row r="451" spans="1:27" s="29" customFormat="1" ht="21" customHeight="1" x14ac:dyDescent="0.2">
      <c r="A451" s="30"/>
      <c r="B451" s="455" t="s">
        <v>94</v>
      </c>
      <c r="C451" s="455"/>
      <c r="D451" s="455"/>
      <c r="E451" s="455"/>
      <c r="F451" s="455"/>
      <c r="G451" s="455"/>
      <c r="H451" s="455"/>
      <c r="I451" s="455"/>
      <c r="J451" s="455"/>
      <c r="K451" s="455"/>
      <c r="L451" s="46"/>
      <c r="N451" s="71"/>
      <c r="O451" s="72" t="s">
        <v>59</v>
      </c>
      <c r="P451" s="72"/>
      <c r="Q451" s="72"/>
      <c r="R451" s="72" t="str">
        <f t="shared" si="87"/>
        <v/>
      </c>
      <c r="S451" s="63"/>
      <c r="T451" s="72" t="s">
        <v>59</v>
      </c>
      <c r="U451" s="109"/>
      <c r="V451" s="74"/>
      <c r="W451" s="109" t="str">
        <f t="shared" si="89"/>
        <v/>
      </c>
      <c r="X451" s="74"/>
      <c r="Y451" s="109" t="str">
        <f t="shared" si="90"/>
        <v/>
      </c>
      <c r="Z451" s="76"/>
    </row>
    <row r="452" spans="1:27" s="29" customFormat="1" ht="21" customHeight="1" x14ac:dyDescent="0.2">
      <c r="A452" s="30"/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6"/>
      <c r="N452" s="71"/>
      <c r="O452" s="72" t="s">
        <v>60</v>
      </c>
      <c r="P452" s="72"/>
      <c r="Q452" s="72"/>
      <c r="R452" s="72" t="str">
        <f t="shared" si="87"/>
        <v/>
      </c>
      <c r="S452" s="63"/>
      <c r="T452" s="72" t="s">
        <v>60</v>
      </c>
      <c r="U452" s="109"/>
      <c r="V452" s="74"/>
      <c r="W452" s="109" t="str">
        <f t="shared" si="89"/>
        <v/>
      </c>
      <c r="X452" s="74"/>
      <c r="Y452" s="109" t="str">
        <f t="shared" si="90"/>
        <v/>
      </c>
      <c r="Z452" s="76"/>
    </row>
    <row r="453" spans="1:27" s="29" customFormat="1" ht="21" customHeight="1" thickBot="1" x14ac:dyDescent="0.25">
      <c r="A453" s="5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1"/>
      <c r="N453" s="77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9"/>
    </row>
    <row r="454" spans="1:27" ht="15.75" thickBot="1" x14ac:dyDescent="0.3"/>
    <row r="455" spans="1:27" s="29" customFormat="1" ht="21" customHeight="1" x14ac:dyDescent="0.2">
      <c r="A455" s="463" t="s">
        <v>42</v>
      </c>
      <c r="B455" s="464"/>
      <c r="C455" s="464"/>
      <c r="D455" s="464"/>
      <c r="E455" s="464"/>
      <c r="F455" s="464"/>
      <c r="G455" s="464"/>
      <c r="H455" s="464"/>
      <c r="I455" s="464"/>
      <c r="J455" s="464"/>
      <c r="K455" s="464"/>
      <c r="L455" s="465"/>
      <c r="M455" s="28"/>
      <c r="N455" s="64"/>
      <c r="O455" s="469" t="s">
        <v>44</v>
      </c>
      <c r="P455" s="470"/>
      <c r="Q455" s="470"/>
      <c r="R455" s="471"/>
      <c r="S455" s="65"/>
      <c r="T455" s="469" t="s">
        <v>45</v>
      </c>
      <c r="U455" s="470"/>
      <c r="V455" s="470"/>
      <c r="W455" s="470"/>
      <c r="X455" s="470"/>
      <c r="Y455" s="471"/>
      <c r="Z455" s="66"/>
      <c r="AA455" s="28"/>
    </row>
    <row r="456" spans="1:27" s="29" customFormat="1" ht="21" customHeight="1" x14ac:dyDescent="0.2">
      <c r="A456" s="30"/>
      <c r="C456" s="466" t="s">
        <v>92</v>
      </c>
      <c r="D456" s="466"/>
      <c r="E456" s="466"/>
      <c r="F456" s="466"/>
      <c r="G456" s="31" t="str">
        <f>$J$1</f>
        <v>October</v>
      </c>
      <c r="H456" s="467">
        <f>$K$1</f>
        <v>2022</v>
      </c>
      <c r="I456" s="467"/>
      <c r="K456" s="32"/>
      <c r="L456" s="33"/>
      <c r="M456" s="32"/>
      <c r="N456" s="67"/>
      <c r="O456" s="68" t="s">
        <v>55</v>
      </c>
      <c r="P456" s="68" t="s">
        <v>7</v>
      </c>
      <c r="Q456" s="68" t="s">
        <v>6</v>
      </c>
      <c r="R456" s="68" t="s">
        <v>56</v>
      </c>
      <c r="S456" s="69"/>
      <c r="T456" s="68" t="s">
        <v>55</v>
      </c>
      <c r="U456" s="68" t="s">
        <v>57</v>
      </c>
      <c r="V456" s="68" t="s">
        <v>22</v>
      </c>
      <c r="W456" s="68" t="s">
        <v>21</v>
      </c>
      <c r="X456" s="68" t="s">
        <v>23</v>
      </c>
      <c r="Y456" s="68" t="s">
        <v>61</v>
      </c>
      <c r="Z456" s="70"/>
      <c r="AA456" s="32"/>
    </row>
    <row r="457" spans="1:27" s="29" customFormat="1" ht="21" customHeight="1" x14ac:dyDescent="0.2">
      <c r="A457" s="30"/>
      <c r="D457" s="35"/>
      <c r="E457" s="35"/>
      <c r="F457" s="35"/>
      <c r="G457" s="35"/>
      <c r="H457" s="35"/>
      <c r="J457" s="36" t="s">
        <v>1</v>
      </c>
      <c r="K457" s="37">
        <v>45000</v>
      </c>
      <c r="L457" s="38"/>
      <c r="N457" s="71"/>
      <c r="O457" s="72" t="s">
        <v>47</v>
      </c>
      <c r="P457" s="72">
        <v>31</v>
      </c>
      <c r="Q457" s="72">
        <v>0</v>
      </c>
      <c r="R457" s="72">
        <f>15-Q457</f>
        <v>15</v>
      </c>
      <c r="S457" s="73"/>
      <c r="T457" s="72" t="s">
        <v>47</v>
      </c>
      <c r="U457" s="74">
        <v>5000</v>
      </c>
      <c r="V457" s="74">
        <v>10000</v>
      </c>
      <c r="W457" s="74">
        <f>V457+U457</f>
        <v>15000</v>
      </c>
      <c r="X457" s="74">
        <v>10000</v>
      </c>
      <c r="Y457" s="74">
        <f>W457-X457</f>
        <v>5000</v>
      </c>
      <c r="Z457" s="70"/>
    </row>
    <row r="458" spans="1:27" s="29" customFormat="1" ht="21" customHeight="1" x14ac:dyDescent="0.2">
      <c r="A458" s="30"/>
      <c r="B458" s="29" t="s">
        <v>0</v>
      </c>
      <c r="C458" s="40" t="s">
        <v>81</v>
      </c>
      <c r="H458" s="41"/>
      <c r="I458" s="35"/>
      <c r="L458" s="42"/>
      <c r="M458" s="28"/>
      <c r="N458" s="75"/>
      <c r="O458" s="72" t="s">
        <v>73</v>
      </c>
      <c r="P458" s="72">
        <v>28</v>
      </c>
      <c r="Q458" s="72">
        <v>0</v>
      </c>
      <c r="R458" s="72">
        <f t="shared" ref="R458:R468" si="91">IF(Q458="","",R457-Q458)</f>
        <v>15</v>
      </c>
      <c r="S458" s="63"/>
      <c r="T458" s="72" t="s">
        <v>73</v>
      </c>
      <c r="U458" s="109">
        <f t="shared" ref="U458:U463" si="92">Y457</f>
        <v>5000</v>
      </c>
      <c r="V458" s="74">
        <v>10000</v>
      </c>
      <c r="W458" s="109">
        <f>IF(U458="","",U458+V458)</f>
        <v>15000</v>
      </c>
      <c r="X458" s="74">
        <v>10000</v>
      </c>
      <c r="Y458" s="109">
        <f>IF(W458="","",W458-X458)</f>
        <v>5000</v>
      </c>
      <c r="Z458" s="76"/>
      <c r="AA458" s="28"/>
    </row>
    <row r="459" spans="1:27" s="29" customFormat="1" ht="21" customHeight="1" x14ac:dyDescent="0.2">
      <c r="A459" s="30"/>
      <c r="B459" s="44" t="s">
        <v>43</v>
      </c>
      <c r="C459" s="45"/>
      <c r="F459" s="468" t="s">
        <v>45</v>
      </c>
      <c r="G459" s="468"/>
      <c r="I459" s="468" t="s">
        <v>46</v>
      </c>
      <c r="J459" s="468"/>
      <c r="K459" s="468"/>
      <c r="L459" s="46"/>
      <c r="N459" s="71"/>
      <c r="O459" s="72" t="s">
        <v>48</v>
      </c>
      <c r="P459" s="72">
        <v>30</v>
      </c>
      <c r="Q459" s="72">
        <v>1</v>
      </c>
      <c r="R459" s="72">
        <f t="shared" si="91"/>
        <v>14</v>
      </c>
      <c r="S459" s="63"/>
      <c r="T459" s="72" t="s">
        <v>48</v>
      </c>
      <c r="U459" s="109">
        <f t="shared" si="92"/>
        <v>5000</v>
      </c>
      <c r="V459" s="74">
        <v>15000</v>
      </c>
      <c r="W459" s="109">
        <f t="shared" ref="W459:W468" si="93">IF(U459="","",U459+V459)</f>
        <v>20000</v>
      </c>
      <c r="X459" s="74">
        <v>15000</v>
      </c>
      <c r="Y459" s="109">
        <f t="shared" ref="Y459:Y468" si="94">IF(W459="","",W459-X459)</f>
        <v>5000</v>
      </c>
      <c r="Z459" s="76"/>
    </row>
    <row r="460" spans="1:27" s="29" customFormat="1" ht="21" customHeight="1" x14ac:dyDescent="0.2">
      <c r="A460" s="30"/>
      <c r="H460" s="47"/>
      <c r="L460" s="34"/>
      <c r="N460" s="71"/>
      <c r="O460" s="72" t="s">
        <v>49</v>
      </c>
      <c r="P460" s="72">
        <v>30</v>
      </c>
      <c r="Q460" s="72">
        <v>0</v>
      </c>
      <c r="R460" s="72">
        <f t="shared" si="91"/>
        <v>14</v>
      </c>
      <c r="S460" s="63"/>
      <c r="T460" s="72" t="s">
        <v>49</v>
      </c>
      <c r="U460" s="109">
        <f t="shared" si="92"/>
        <v>5000</v>
      </c>
      <c r="V460" s="74"/>
      <c r="W460" s="109">
        <f t="shared" si="93"/>
        <v>5000</v>
      </c>
      <c r="X460" s="74"/>
      <c r="Y460" s="109">
        <f t="shared" si="94"/>
        <v>5000</v>
      </c>
      <c r="Z460" s="76"/>
    </row>
    <row r="461" spans="1:27" s="29" customFormat="1" ht="21" customHeight="1" x14ac:dyDescent="0.2">
      <c r="A461" s="30"/>
      <c r="B461" s="472" t="s">
        <v>44</v>
      </c>
      <c r="C461" s="473"/>
      <c r="F461" s="48" t="s">
        <v>66</v>
      </c>
      <c r="G461" s="97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10000</v>
      </c>
      <c r="H461" s="47"/>
      <c r="I461" s="49">
        <f>IF(C465&gt;0,$K$2,C463)</f>
        <v>31</v>
      </c>
      <c r="J461" s="50" t="s">
        <v>63</v>
      </c>
      <c r="K461" s="51">
        <f>K457/$K$2*I461</f>
        <v>45000</v>
      </c>
      <c r="L461" s="52"/>
      <c r="N461" s="71"/>
      <c r="O461" s="72" t="s">
        <v>50</v>
      </c>
      <c r="P461" s="72">
        <v>29</v>
      </c>
      <c r="Q461" s="72">
        <v>2</v>
      </c>
      <c r="R461" s="72">
        <f t="shared" si="91"/>
        <v>12</v>
      </c>
      <c r="S461" s="63"/>
      <c r="T461" s="72" t="s">
        <v>50</v>
      </c>
      <c r="U461" s="109">
        <f t="shared" si="92"/>
        <v>5000</v>
      </c>
      <c r="V461" s="74"/>
      <c r="W461" s="109">
        <f t="shared" si="93"/>
        <v>5000</v>
      </c>
      <c r="X461" s="74"/>
      <c r="Y461" s="109">
        <f t="shared" si="94"/>
        <v>5000</v>
      </c>
      <c r="Z461" s="76"/>
    </row>
    <row r="462" spans="1:27" s="29" customFormat="1" ht="21" customHeight="1" x14ac:dyDescent="0.2">
      <c r="A462" s="30"/>
      <c r="B462" s="39"/>
      <c r="C462" s="39"/>
      <c r="F462" s="48" t="s">
        <v>22</v>
      </c>
      <c r="G462" s="97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0</v>
      </c>
      <c r="H462" s="47"/>
      <c r="I462" s="84">
        <v>78</v>
      </c>
      <c r="J462" s="50" t="s">
        <v>64</v>
      </c>
      <c r="K462" s="53">
        <f>K457/$K$2/8*I462</f>
        <v>14153.225806451612</v>
      </c>
      <c r="L462" s="54"/>
      <c r="N462" s="71"/>
      <c r="O462" s="72" t="s">
        <v>51</v>
      </c>
      <c r="P462" s="72">
        <v>28</v>
      </c>
      <c r="Q462" s="72">
        <v>2</v>
      </c>
      <c r="R462" s="72">
        <f t="shared" si="91"/>
        <v>10</v>
      </c>
      <c r="S462" s="63"/>
      <c r="T462" s="72" t="s">
        <v>51</v>
      </c>
      <c r="U462" s="109">
        <f t="shared" si="92"/>
        <v>5000</v>
      </c>
      <c r="V462" s="74">
        <f>5000+30000</f>
        <v>35000</v>
      </c>
      <c r="W462" s="109">
        <f t="shared" si="93"/>
        <v>40000</v>
      </c>
      <c r="X462" s="74">
        <v>40000</v>
      </c>
      <c r="Y462" s="109">
        <f t="shared" si="94"/>
        <v>0</v>
      </c>
      <c r="Z462" s="76"/>
    </row>
    <row r="463" spans="1:27" s="29" customFormat="1" ht="21" customHeight="1" x14ac:dyDescent="0.2">
      <c r="A463" s="30"/>
      <c r="B463" s="48" t="s">
        <v>7</v>
      </c>
      <c r="C463" s="39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28</v>
      </c>
      <c r="F463" s="48" t="s">
        <v>67</v>
      </c>
      <c r="G463" s="97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10000</v>
      </c>
      <c r="H463" s="47"/>
      <c r="I463" s="456" t="s">
        <v>71</v>
      </c>
      <c r="J463" s="457"/>
      <c r="K463" s="53">
        <f>K461+K462</f>
        <v>59153.225806451614</v>
      </c>
      <c r="L463" s="54"/>
      <c r="N463" s="71"/>
      <c r="O463" s="72" t="s">
        <v>52</v>
      </c>
      <c r="P463" s="72">
        <v>30</v>
      </c>
      <c r="Q463" s="72">
        <v>1</v>
      </c>
      <c r="R463" s="72">
        <f t="shared" si="91"/>
        <v>9</v>
      </c>
      <c r="S463" s="63"/>
      <c r="T463" s="72" t="s">
        <v>52</v>
      </c>
      <c r="U463" s="109">
        <f t="shared" si="92"/>
        <v>0</v>
      </c>
      <c r="V463" s="74">
        <v>10000</v>
      </c>
      <c r="W463" s="109">
        <f t="shared" si="93"/>
        <v>10000</v>
      </c>
      <c r="X463" s="74">
        <v>5000</v>
      </c>
      <c r="Y463" s="109">
        <f t="shared" si="94"/>
        <v>5000</v>
      </c>
      <c r="Z463" s="76"/>
    </row>
    <row r="464" spans="1:27" s="29" customFormat="1" ht="21" customHeight="1" x14ac:dyDescent="0.2">
      <c r="A464" s="30"/>
      <c r="B464" s="48" t="s">
        <v>6</v>
      </c>
      <c r="C464" s="39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3</v>
      </c>
      <c r="F464" s="48" t="s">
        <v>23</v>
      </c>
      <c r="G464" s="97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0</v>
      </c>
      <c r="H464" s="47"/>
      <c r="I464" s="456" t="s">
        <v>72</v>
      </c>
      <c r="J464" s="457"/>
      <c r="K464" s="43">
        <f>G464</f>
        <v>0</v>
      </c>
      <c r="L464" s="55"/>
      <c r="N464" s="71"/>
      <c r="O464" s="72" t="s">
        <v>53</v>
      </c>
      <c r="P464" s="72">
        <v>29</v>
      </c>
      <c r="Q464" s="72">
        <v>2</v>
      </c>
      <c r="R464" s="72">
        <f t="shared" si="91"/>
        <v>7</v>
      </c>
      <c r="S464" s="63"/>
      <c r="T464" s="72" t="s">
        <v>53</v>
      </c>
      <c r="U464" s="109">
        <f>Y463</f>
        <v>5000</v>
      </c>
      <c r="V464" s="74">
        <v>2000</v>
      </c>
      <c r="W464" s="109">
        <f t="shared" si="93"/>
        <v>7000</v>
      </c>
      <c r="X464" s="74">
        <v>2000</v>
      </c>
      <c r="Y464" s="109">
        <f t="shared" si="94"/>
        <v>5000</v>
      </c>
      <c r="Z464" s="76"/>
    </row>
    <row r="465" spans="1:26" s="29" customFormat="1" ht="21" customHeight="1" x14ac:dyDescent="0.2">
      <c r="A465" s="30"/>
      <c r="B465" s="56" t="s">
        <v>70</v>
      </c>
      <c r="C465" s="39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3</v>
      </c>
      <c r="F465" s="48" t="s">
        <v>69</v>
      </c>
      <c r="G465" s="97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10000</v>
      </c>
      <c r="I465" s="458" t="s">
        <v>65</v>
      </c>
      <c r="J465" s="459"/>
      <c r="K465" s="57">
        <f>K463-K464</f>
        <v>59153.225806451614</v>
      </c>
      <c r="L465" s="58"/>
      <c r="N465" s="71"/>
      <c r="O465" s="72" t="s">
        <v>58</v>
      </c>
      <c r="P465" s="72">
        <v>29</v>
      </c>
      <c r="Q465" s="72">
        <v>1</v>
      </c>
      <c r="R465" s="72">
        <f t="shared" si="91"/>
        <v>6</v>
      </c>
      <c r="S465" s="63"/>
      <c r="T465" s="72" t="s">
        <v>58</v>
      </c>
      <c r="U465" s="109">
        <f>Y464</f>
        <v>5000</v>
      </c>
      <c r="V465" s="74">
        <f>5000+5000</f>
        <v>10000</v>
      </c>
      <c r="W465" s="109">
        <f t="shared" si="93"/>
        <v>15000</v>
      </c>
      <c r="X465" s="74">
        <v>5000</v>
      </c>
      <c r="Y465" s="109">
        <f t="shared" si="94"/>
        <v>10000</v>
      </c>
      <c r="Z465" s="76"/>
    </row>
    <row r="466" spans="1:26" s="29" customFormat="1" ht="21" customHeight="1" x14ac:dyDescent="0.2">
      <c r="A466" s="30"/>
      <c r="K466" s="113"/>
      <c r="L466" s="46"/>
      <c r="N466" s="71"/>
      <c r="O466" s="72" t="s">
        <v>54</v>
      </c>
      <c r="P466" s="72">
        <v>28</v>
      </c>
      <c r="Q466" s="72">
        <v>3</v>
      </c>
      <c r="R466" s="72">
        <f t="shared" si="91"/>
        <v>3</v>
      </c>
      <c r="S466" s="63"/>
      <c r="T466" s="72" t="s">
        <v>54</v>
      </c>
      <c r="U466" s="109">
        <f>Y465</f>
        <v>10000</v>
      </c>
      <c r="V466" s="74"/>
      <c r="W466" s="109">
        <f t="shared" si="93"/>
        <v>10000</v>
      </c>
      <c r="X466" s="74"/>
      <c r="Y466" s="109">
        <f t="shared" si="94"/>
        <v>10000</v>
      </c>
      <c r="Z466" s="76"/>
    </row>
    <row r="467" spans="1:26" s="29" customFormat="1" ht="21" customHeight="1" x14ac:dyDescent="0.2">
      <c r="A467" s="30"/>
      <c r="B467" s="455" t="s">
        <v>94</v>
      </c>
      <c r="C467" s="455"/>
      <c r="D467" s="455"/>
      <c r="E467" s="455"/>
      <c r="F467" s="455"/>
      <c r="G467" s="455"/>
      <c r="H467" s="455"/>
      <c r="I467" s="455"/>
      <c r="J467" s="455"/>
      <c r="K467" s="455"/>
      <c r="L467" s="46"/>
      <c r="N467" s="71"/>
      <c r="O467" s="72" t="s">
        <v>59</v>
      </c>
      <c r="P467" s="72"/>
      <c r="Q467" s="72"/>
      <c r="R467" s="72" t="str">
        <f t="shared" si="91"/>
        <v/>
      </c>
      <c r="S467" s="63"/>
      <c r="T467" s="72" t="s">
        <v>59</v>
      </c>
      <c r="U467" s="109"/>
      <c r="V467" s="74"/>
      <c r="W467" s="109" t="str">
        <f t="shared" si="93"/>
        <v/>
      </c>
      <c r="X467" s="74">
        <v>15000</v>
      </c>
      <c r="Y467" s="109" t="str">
        <f t="shared" si="94"/>
        <v/>
      </c>
      <c r="Z467" s="76"/>
    </row>
    <row r="468" spans="1:26" s="29" customFormat="1" ht="21" customHeight="1" x14ac:dyDescent="0.2">
      <c r="A468" s="30"/>
      <c r="B468" s="455"/>
      <c r="C468" s="455"/>
      <c r="D468" s="455"/>
      <c r="E468" s="455"/>
      <c r="F468" s="455"/>
      <c r="G468" s="455"/>
      <c r="H468" s="455"/>
      <c r="I468" s="455"/>
      <c r="J468" s="455"/>
      <c r="K468" s="455"/>
      <c r="L468" s="46"/>
      <c r="N468" s="71"/>
      <c r="O468" s="72" t="s">
        <v>60</v>
      </c>
      <c r="P468" s="72"/>
      <c r="Q468" s="72"/>
      <c r="R468" s="72" t="str">
        <f t="shared" si="91"/>
        <v/>
      </c>
      <c r="S468" s="63"/>
      <c r="T468" s="72" t="s">
        <v>60</v>
      </c>
      <c r="U468" s="109"/>
      <c r="V468" s="74"/>
      <c r="W468" s="109" t="str">
        <f t="shared" si="93"/>
        <v/>
      </c>
      <c r="X468" s="74"/>
      <c r="Y468" s="109" t="str">
        <f t="shared" si="94"/>
        <v/>
      </c>
      <c r="Z468" s="76"/>
    </row>
    <row r="469" spans="1:26" s="29" customFormat="1" ht="21" customHeight="1" thickBot="1" x14ac:dyDescent="0.25">
      <c r="A469" s="5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1"/>
      <c r="N469" s="77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9"/>
    </row>
    <row r="470" spans="1:26" ht="15.75" thickBot="1" x14ac:dyDescent="0.3"/>
    <row r="471" spans="1:26" s="29" customFormat="1" ht="21" customHeight="1" x14ac:dyDescent="0.2">
      <c r="A471" s="500" t="s">
        <v>42</v>
      </c>
      <c r="B471" s="501"/>
      <c r="C471" s="501"/>
      <c r="D471" s="501"/>
      <c r="E471" s="501"/>
      <c r="F471" s="501"/>
      <c r="G471" s="501"/>
      <c r="H471" s="501"/>
      <c r="I471" s="501"/>
      <c r="J471" s="501"/>
      <c r="K471" s="501"/>
      <c r="L471" s="502"/>
      <c r="M471" s="28"/>
      <c r="N471" s="64"/>
      <c r="O471" s="469" t="s">
        <v>44</v>
      </c>
      <c r="P471" s="470"/>
      <c r="Q471" s="470"/>
      <c r="R471" s="471"/>
      <c r="S471" s="65"/>
      <c r="T471" s="469" t="s">
        <v>45</v>
      </c>
      <c r="U471" s="470"/>
      <c r="V471" s="470"/>
      <c r="W471" s="470"/>
      <c r="X471" s="470"/>
      <c r="Y471" s="471"/>
      <c r="Z471" s="66"/>
    </row>
    <row r="472" spans="1:26" s="29" customFormat="1" ht="21" customHeight="1" x14ac:dyDescent="0.2">
      <c r="A472" s="30"/>
      <c r="C472" s="466" t="s">
        <v>92</v>
      </c>
      <c r="D472" s="466"/>
      <c r="E472" s="466"/>
      <c r="F472" s="466"/>
      <c r="G472" s="31" t="str">
        <f>$J$1</f>
        <v>October</v>
      </c>
      <c r="H472" s="467">
        <f>$K$1</f>
        <v>2022</v>
      </c>
      <c r="I472" s="467"/>
      <c r="K472" s="32"/>
      <c r="L472" s="33"/>
      <c r="M472" s="32"/>
      <c r="N472" s="67"/>
      <c r="O472" s="68" t="s">
        <v>55</v>
      </c>
      <c r="P472" s="68" t="s">
        <v>7</v>
      </c>
      <c r="Q472" s="68" t="s">
        <v>6</v>
      </c>
      <c r="R472" s="68" t="s">
        <v>56</v>
      </c>
      <c r="S472" s="69"/>
      <c r="T472" s="68" t="s">
        <v>55</v>
      </c>
      <c r="U472" s="68" t="s">
        <v>57</v>
      </c>
      <c r="V472" s="68" t="s">
        <v>22</v>
      </c>
      <c r="W472" s="68" t="s">
        <v>21</v>
      </c>
      <c r="X472" s="68" t="s">
        <v>23</v>
      </c>
      <c r="Y472" s="68" t="s">
        <v>61</v>
      </c>
      <c r="Z472" s="70"/>
    </row>
    <row r="473" spans="1:26" s="29" customFormat="1" ht="21" customHeight="1" x14ac:dyDescent="0.2">
      <c r="A473" s="30"/>
      <c r="D473" s="35"/>
      <c r="E473" s="35"/>
      <c r="F473" s="35"/>
      <c r="G473" s="35"/>
      <c r="H473" s="35"/>
      <c r="J473" s="36" t="s">
        <v>1</v>
      </c>
      <c r="K473" s="37">
        <f>17000+2000+4000</f>
        <v>23000</v>
      </c>
      <c r="L473" s="38"/>
      <c r="N473" s="71"/>
      <c r="O473" s="72" t="s">
        <v>47</v>
      </c>
      <c r="P473" s="72">
        <v>28</v>
      </c>
      <c r="Q473" s="72">
        <v>3</v>
      </c>
      <c r="R473" s="72">
        <v>0</v>
      </c>
      <c r="S473" s="73"/>
      <c r="T473" s="72" t="s">
        <v>47</v>
      </c>
      <c r="U473" s="74"/>
      <c r="V473" s="74"/>
      <c r="W473" s="74">
        <f>V473+U473</f>
        <v>0</v>
      </c>
      <c r="X473" s="74"/>
      <c r="Y473" s="74">
        <f>W473-X473</f>
        <v>0</v>
      </c>
      <c r="Z473" s="70"/>
    </row>
    <row r="474" spans="1:26" s="29" customFormat="1" ht="21" customHeight="1" x14ac:dyDescent="0.2">
      <c r="A474" s="30"/>
      <c r="B474" s="29" t="s">
        <v>0</v>
      </c>
      <c r="C474" s="40" t="s">
        <v>210</v>
      </c>
      <c r="H474" s="41"/>
      <c r="I474" s="35"/>
      <c r="L474" s="42"/>
      <c r="M474" s="28"/>
      <c r="N474" s="75"/>
      <c r="O474" s="72" t="s">
        <v>73</v>
      </c>
      <c r="P474" s="72">
        <v>24</v>
      </c>
      <c r="Q474" s="72">
        <v>4</v>
      </c>
      <c r="R474" s="72">
        <f>15-Q474</f>
        <v>11</v>
      </c>
      <c r="S474" s="63"/>
      <c r="T474" s="72" t="s">
        <v>73</v>
      </c>
      <c r="U474" s="109">
        <f>Y473</f>
        <v>0</v>
      </c>
      <c r="V474" s="74"/>
      <c r="W474" s="109">
        <f>IF(U474="","",U474+V474)</f>
        <v>0</v>
      </c>
      <c r="X474" s="74"/>
      <c r="Y474" s="109">
        <f>IF(W474="","",W474-X474)</f>
        <v>0</v>
      </c>
      <c r="Z474" s="76"/>
    </row>
    <row r="475" spans="1:26" s="29" customFormat="1" ht="21" customHeight="1" x14ac:dyDescent="0.2">
      <c r="A475" s="30"/>
      <c r="B475" s="44" t="s">
        <v>43</v>
      </c>
      <c r="C475" s="40"/>
      <c r="F475" s="468" t="s">
        <v>45</v>
      </c>
      <c r="G475" s="468"/>
      <c r="I475" s="468" t="s">
        <v>46</v>
      </c>
      <c r="J475" s="468"/>
      <c r="K475" s="468"/>
      <c r="L475" s="46"/>
      <c r="N475" s="71"/>
      <c r="O475" s="72" t="s">
        <v>48</v>
      </c>
      <c r="P475" s="72">
        <v>30</v>
      </c>
      <c r="Q475" s="72">
        <v>1</v>
      </c>
      <c r="R475" s="72">
        <f>R474-Q475</f>
        <v>10</v>
      </c>
      <c r="S475" s="63"/>
      <c r="T475" s="72" t="s">
        <v>48</v>
      </c>
      <c r="U475" s="109">
        <f>IF($J$1="April",Y474,Y474)</f>
        <v>0</v>
      </c>
      <c r="V475" s="74"/>
      <c r="W475" s="109">
        <f t="shared" ref="W475:W484" si="95">IF(U475="","",U475+V475)</f>
        <v>0</v>
      </c>
      <c r="X475" s="74"/>
      <c r="Y475" s="109">
        <f t="shared" ref="Y475:Y484" si="96">IF(W475="","",W475-X475)</f>
        <v>0</v>
      </c>
      <c r="Z475" s="76"/>
    </row>
    <row r="476" spans="1:26" s="29" customFormat="1" ht="21" customHeight="1" x14ac:dyDescent="0.2">
      <c r="A476" s="30"/>
      <c r="H476" s="47"/>
      <c r="L476" s="34"/>
      <c r="N476" s="71"/>
      <c r="O476" s="72" t="s">
        <v>49</v>
      </c>
      <c r="P476" s="72">
        <v>30</v>
      </c>
      <c r="Q476" s="72">
        <v>0</v>
      </c>
      <c r="R476" s="72">
        <f>R475-Q476</f>
        <v>10</v>
      </c>
      <c r="S476" s="63"/>
      <c r="T476" s="72" t="s">
        <v>49</v>
      </c>
      <c r="U476" s="109"/>
      <c r="V476" s="74"/>
      <c r="W476" s="109" t="str">
        <f t="shared" si="95"/>
        <v/>
      </c>
      <c r="X476" s="74"/>
      <c r="Y476" s="109" t="str">
        <f t="shared" si="96"/>
        <v/>
      </c>
      <c r="Z476" s="76"/>
    </row>
    <row r="477" spans="1:26" s="29" customFormat="1" ht="21" customHeight="1" x14ac:dyDescent="0.2">
      <c r="A477" s="30"/>
      <c r="B477" s="472" t="s">
        <v>44</v>
      </c>
      <c r="C477" s="473"/>
      <c r="F477" s="48" t="s">
        <v>66</v>
      </c>
      <c r="G477" s="43" t="str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/>
      </c>
      <c r="H477" s="47"/>
      <c r="I477" s="49">
        <f>IF(C481&gt;0,$K$2,C479)</f>
        <v>30</v>
      </c>
      <c r="J477" s="50" t="s">
        <v>63</v>
      </c>
      <c r="K477" s="51">
        <f>K473/$K$2*I477</f>
        <v>22258.06451612903</v>
      </c>
      <c r="L477" s="52"/>
      <c r="N477" s="71"/>
      <c r="O477" s="72" t="s">
        <v>50</v>
      </c>
      <c r="P477" s="72">
        <v>24</v>
      </c>
      <c r="Q477" s="72">
        <v>7</v>
      </c>
      <c r="R477" s="72">
        <v>10</v>
      </c>
      <c r="S477" s="63"/>
      <c r="T477" s="72" t="s">
        <v>50</v>
      </c>
      <c r="U477" s="109" t="str">
        <f>IF($J$1="May",Y476,Y476)</f>
        <v/>
      </c>
      <c r="V477" s="74"/>
      <c r="W477" s="109" t="str">
        <f t="shared" si="95"/>
        <v/>
      </c>
      <c r="X477" s="74"/>
      <c r="Y477" s="109" t="str">
        <f t="shared" si="96"/>
        <v/>
      </c>
      <c r="Z477" s="76"/>
    </row>
    <row r="478" spans="1:26" s="29" customFormat="1" ht="21" customHeight="1" x14ac:dyDescent="0.2">
      <c r="A478" s="30"/>
      <c r="B478" s="39"/>
      <c r="C478" s="39"/>
      <c r="F478" s="48" t="s">
        <v>22</v>
      </c>
      <c r="G478" s="43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7"/>
      <c r="I478" s="84">
        <v>49</v>
      </c>
      <c r="J478" s="50" t="s">
        <v>64</v>
      </c>
      <c r="K478" s="53">
        <f>K473/$K$2/8*I478</f>
        <v>4544.3548387096771</v>
      </c>
      <c r="L478" s="54"/>
      <c r="N478" s="71"/>
      <c r="O478" s="72" t="s">
        <v>51</v>
      </c>
      <c r="P478" s="72">
        <v>13</v>
      </c>
      <c r="Q478" s="72">
        <v>17</v>
      </c>
      <c r="R478" s="72">
        <v>10</v>
      </c>
      <c r="S478" s="63"/>
      <c r="T478" s="72" t="s">
        <v>51</v>
      </c>
      <c r="U478" s="109" t="str">
        <f>IF($J$1="May",Y477,Y477)</f>
        <v/>
      </c>
      <c r="V478" s="74"/>
      <c r="W478" s="109" t="str">
        <f t="shared" si="95"/>
        <v/>
      </c>
      <c r="X478" s="74"/>
      <c r="Y478" s="109" t="str">
        <f t="shared" si="96"/>
        <v/>
      </c>
      <c r="Z478" s="76"/>
    </row>
    <row r="479" spans="1:26" s="29" customFormat="1" ht="21" customHeight="1" x14ac:dyDescent="0.2">
      <c r="A479" s="30"/>
      <c r="B479" s="48" t="s">
        <v>7</v>
      </c>
      <c r="C479" s="39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30</v>
      </c>
      <c r="F479" s="48" t="s">
        <v>67</v>
      </c>
      <c r="G479" s="43" t="str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/>
      </c>
      <c r="H479" s="47"/>
      <c r="I479" s="456" t="s">
        <v>71</v>
      </c>
      <c r="J479" s="457"/>
      <c r="K479" s="53">
        <f>K477+K478</f>
        <v>26802.419354838708</v>
      </c>
      <c r="L479" s="54"/>
      <c r="N479" s="71"/>
      <c r="O479" s="72" t="s">
        <v>52</v>
      </c>
      <c r="P479" s="72"/>
      <c r="Q479" s="72"/>
      <c r="R479" s="72">
        <v>10</v>
      </c>
      <c r="S479" s="63"/>
      <c r="T479" s="72" t="s">
        <v>52</v>
      </c>
      <c r="U479" s="109" t="str">
        <f t="shared" ref="U479:U484" si="97">Y478</f>
        <v/>
      </c>
      <c r="V479" s="74"/>
      <c r="W479" s="109" t="str">
        <f t="shared" si="95"/>
        <v/>
      </c>
      <c r="X479" s="74"/>
      <c r="Y479" s="109" t="str">
        <f t="shared" si="96"/>
        <v/>
      </c>
      <c r="Z479" s="76"/>
    </row>
    <row r="480" spans="1:26" s="29" customFormat="1" ht="21" customHeight="1" x14ac:dyDescent="0.2">
      <c r="A480" s="30"/>
      <c r="B480" s="48" t="s">
        <v>6</v>
      </c>
      <c r="C480" s="39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1</v>
      </c>
      <c r="F480" s="48" t="s">
        <v>23</v>
      </c>
      <c r="G480" s="43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7"/>
      <c r="I480" s="456" t="s">
        <v>72</v>
      </c>
      <c r="J480" s="457"/>
      <c r="K480" s="43">
        <f>G480</f>
        <v>0</v>
      </c>
      <c r="L480" s="55"/>
      <c r="N480" s="71"/>
      <c r="O480" s="72" t="s">
        <v>53</v>
      </c>
      <c r="P480" s="72"/>
      <c r="Q480" s="72"/>
      <c r="R480" s="72">
        <v>10</v>
      </c>
      <c r="S480" s="63"/>
      <c r="T480" s="72" t="s">
        <v>53</v>
      </c>
      <c r="U480" s="109" t="str">
        <f t="shared" si="97"/>
        <v/>
      </c>
      <c r="V480" s="74"/>
      <c r="W480" s="109" t="str">
        <f t="shared" si="95"/>
        <v/>
      </c>
      <c r="X480" s="74"/>
      <c r="Y480" s="109" t="str">
        <f t="shared" si="96"/>
        <v/>
      </c>
      <c r="Z480" s="76"/>
    </row>
    <row r="481" spans="1:26" s="29" customFormat="1" ht="21" customHeight="1" x14ac:dyDescent="0.2">
      <c r="A481" s="30"/>
      <c r="B481" s="56" t="s">
        <v>70</v>
      </c>
      <c r="C481" s="39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F481" s="48" t="s">
        <v>193</v>
      </c>
      <c r="G481" s="43" t="str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/>
      </c>
      <c r="I481" s="458" t="s">
        <v>65</v>
      </c>
      <c r="J481" s="459"/>
      <c r="K481" s="57">
        <f>K479-K480</f>
        <v>26802.419354838708</v>
      </c>
      <c r="L481" s="58"/>
      <c r="N481" s="71"/>
      <c r="O481" s="72" t="s">
        <v>58</v>
      </c>
      <c r="P481" s="72">
        <v>21</v>
      </c>
      <c r="Q481" s="72">
        <v>9</v>
      </c>
      <c r="R481" s="72">
        <v>10</v>
      </c>
      <c r="S481" s="63"/>
      <c r="T481" s="72" t="s">
        <v>58</v>
      </c>
      <c r="U481" s="109" t="str">
        <f t="shared" si="97"/>
        <v/>
      </c>
      <c r="V481" s="74"/>
      <c r="W481" s="109" t="str">
        <f t="shared" si="95"/>
        <v/>
      </c>
      <c r="X481" s="74"/>
      <c r="Y481" s="109" t="str">
        <f t="shared" si="96"/>
        <v/>
      </c>
      <c r="Z481" s="76"/>
    </row>
    <row r="482" spans="1:26" s="29" customFormat="1" ht="21" customHeight="1" x14ac:dyDescent="0.2">
      <c r="A482" s="30"/>
      <c r="F482" s="29" t="s">
        <v>263</v>
      </c>
      <c r="K482" s="113"/>
      <c r="L482" s="46"/>
      <c r="N482" s="71"/>
      <c r="O482" s="72" t="s">
        <v>54</v>
      </c>
      <c r="P482" s="72">
        <v>30</v>
      </c>
      <c r="Q482" s="72">
        <v>1</v>
      </c>
      <c r="R482" s="72">
        <v>0</v>
      </c>
      <c r="S482" s="63"/>
      <c r="T482" s="72" t="s">
        <v>54</v>
      </c>
      <c r="U482" s="109" t="str">
        <f t="shared" si="97"/>
        <v/>
      </c>
      <c r="V482" s="74"/>
      <c r="W482" s="109" t="str">
        <f t="shared" si="95"/>
        <v/>
      </c>
      <c r="X482" s="74"/>
      <c r="Y482" s="109" t="str">
        <f t="shared" si="96"/>
        <v/>
      </c>
      <c r="Z482" s="76"/>
    </row>
    <row r="483" spans="1:26" s="29" customFormat="1" ht="21" customHeight="1" x14ac:dyDescent="0.2">
      <c r="A483" s="30"/>
      <c r="B483" s="455" t="s">
        <v>94</v>
      </c>
      <c r="C483" s="455"/>
      <c r="D483" s="455"/>
      <c r="E483" s="455"/>
      <c r="F483" s="455"/>
      <c r="G483" s="455"/>
      <c r="H483" s="455"/>
      <c r="I483" s="455"/>
      <c r="J483" s="455"/>
      <c r="K483" s="455"/>
      <c r="L483" s="46"/>
      <c r="N483" s="71"/>
      <c r="O483" s="72" t="s">
        <v>59</v>
      </c>
      <c r="P483" s="72"/>
      <c r="Q483" s="72"/>
      <c r="R483" s="72">
        <v>10</v>
      </c>
      <c r="S483" s="63"/>
      <c r="T483" s="72" t="s">
        <v>59</v>
      </c>
      <c r="U483" s="109" t="str">
        <f t="shared" si="97"/>
        <v/>
      </c>
      <c r="V483" s="74"/>
      <c r="W483" s="109" t="str">
        <f t="shared" si="95"/>
        <v/>
      </c>
      <c r="X483" s="74"/>
      <c r="Y483" s="109" t="str">
        <f t="shared" si="96"/>
        <v/>
      </c>
      <c r="Z483" s="76"/>
    </row>
    <row r="484" spans="1:26" s="29" customFormat="1" ht="21" customHeight="1" x14ac:dyDescent="0.2">
      <c r="A484" s="30"/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6"/>
      <c r="N484" s="71"/>
      <c r="O484" s="72" t="s">
        <v>60</v>
      </c>
      <c r="P484" s="72"/>
      <c r="Q484" s="72"/>
      <c r="R484" s="72">
        <v>0</v>
      </c>
      <c r="S484" s="63"/>
      <c r="T484" s="72" t="s">
        <v>60</v>
      </c>
      <c r="U484" s="109" t="str">
        <f t="shared" si="97"/>
        <v/>
      </c>
      <c r="V484" s="74"/>
      <c r="W484" s="109" t="str">
        <f t="shared" si="95"/>
        <v/>
      </c>
      <c r="X484" s="74"/>
      <c r="Y484" s="109" t="str">
        <f t="shared" si="96"/>
        <v/>
      </c>
      <c r="Z484" s="76"/>
    </row>
    <row r="485" spans="1:26" s="29" customFormat="1" ht="21" customHeight="1" thickBot="1" x14ac:dyDescent="0.25">
      <c r="A485" s="5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1"/>
      <c r="N485" s="77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9"/>
    </row>
    <row r="486" spans="1:26" ht="15.75" thickBot="1" x14ac:dyDescent="0.3"/>
    <row r="487" spans="1:26" s="29" customFormat="1" ht="21" hidden="1" customHeight="1" x14ac:dyDescent="0.2">
      <c r="A487" s="488" t="s">
        <v>42</v>
      </c>
      <c r="B487" s="489"/>
      <c r="C487" s="489"/>
      <c r="D487" s="489"/>
      <c r="E487" s="489"/>
      <c r="F487" s="489"/>
      <c r="G487" s="489"/>
      <c r="H487" s="489"/>
      <c r="I487" s="489"/>
      <c r="J487" s="489"/>
      <c r="K487" s="489"/>
      <c r="L487" s="490"/>
      <c r="M487" s="28"/>
      <c r="N487" s="64"/>
      <c r="O487" s="469" t="s">
        <v>44</v>
      </c>
      <c r="P487" s="470"/>
      <c r="Q487" s="470"/>
      <c r="R487" s="471"/>
      <c r="S487" s="65"/>
      <c r="T487" s="469" t="s">
        <v>45</v>
      </c>
      <c r="U487" s="470"/>
      <c r="V487" s="470"/>
      <c r="W487" s="470"/>
      <c r="X487" s="470"/>
      <c r="Y487" s="471"/>
      <c r="Z487" s="63"/>
    </row>
    <row r="488" spans="1:26" s="29" customFormat="1" ht="21" hidden="1" customHeight="1" x14ac:dyDescent="0.2">
      <c r="A488" s="30"/>
      <c r="C488" s="466" t="s">
        <v>92</v>
      </c>
      <c r="D488" s="466"/>
      <c r="E488" s="466"/>
      <c r="F488" s="466"/>
      <c r="G488" s="31" t="str">
        <f>$J$1</f>
        <v>October</v>
      </c>
      <c r="H488" s="467">
        <f>$K$1</f>
        <v>2022</v>
      </c>
      <c r="I488" s="467"/>
      <c r="K488" s="32"/>
      <c r="L488" s="33"/>
      <c r="M488" s="32"/>
      <c r="N488" s="67"/>
      <c r="O488" s="68" t="s">
        <v>55</v>
      </c>
      <c r="P488" s="68" t="s">
        <v>7</v>
      </c>
      <c r="Q488" s="68" t="s">
        <v>6</v>
      </c>
      <c r="R488" s="68" t="s">
        <v>56</v>
      </c>
      <c r="S488" s="69"/>
      <c r="T488" s="68" t="s">
        <v>55</v>
      </c>
      <c r="U488" s="68" t="s">
        <v>57</v>
      </c>
      <c r="V488" s="68" t="s">
        <v>22</v>
      </c>
      <c r="W488" s="68" t="s">
        <v>21</v>
      </c>
      <c r="X488" s="68" t="s">
        <v>23</v>
      </c>
      <c r="Y488" s="68" t="s">
        <v>61</v>
      </c>
      <c r="Z488" s="63"/>
    </row>
    <row r="489" spans="1:26" s="29" customFormat="1" ht="21" hidden="1" customHeight="1" x14ac:dyDescent="0.2">
      <c r="A489" s="30"/>
      <c r="D489" s="35"/>
      <c r="E489" s="35"/>
      <c r="F489" s="35"/>
      <c r="G489" s="35"/>
      <c r="H489" s="35"/>
      <c r="J489" s="36" t="s">
        <v>1</v>
      </c>
      <c r="K489" s="37">
        <v>22000</v>
      </c>
      <c r="L489" s="38"/>
      <c r="N489" s="71"/>
      <c r="O489" s="72" t="s">
        <v>47</v>
      </c>
      <c r="P489" s="72">
        <v>31</v>
      </c>
      <c r="Q489" s="72">
        <v>0</v>
      </c>
      <c r="R489" s="72">
        <v>11</v>
      </c>
      <c r="S489" s="73"/>
      <c r="T489" s="72" t="s">
        <v>47</v>
      </c>
      <c r="U489" s="74">
        <v>10000</v>
      </c>
      <c r="V489" s="74"/>
      <c r="W489" s="74">
        <f>V489+U489</f>
        <v>10000</v>
      </c>
      <c r="X489" s="74">
        <v>2000</v>
      </c>
      <c r="Y489" s="74">
        <f>W489-X489</f>
        <v>8000</v>
      </c>
      <c r="Z489" s="63"/>
    </row>
    <row r="490" spans="1:26" s="29" customFormat="1" ht="21" hidden="1" customHeight="1" x14ac:dyDescent="0.2">
      <c r="A490" s="30"/>
      <c r="B490" s="29" t="s">
        <v>0</v>
      </c>
      <c r="C490" s="40" t="s">
        <v>153</v>
      </c>
      <c r="H490" s="41"/>
      <c r="I490" s="35"/>
      <c r="L490" s="42"/>
      <c r="M490" s="28"/>
      <c r="N490" s="75"/>
      <c r="O490" s="72" t="s">
        <v>73</v>
      </c>
      <c r="P490" s="72">
        <v>28</v>
      </c>
      <c r="Q490" s="72">
        <v>0</v>
      </c>
      <c r="R490" s="72">
        <f t="shared" ref="R490" si="98">IF(Q490="","",R489-Q490)</f>
        <v>11</v>
      </c>
      <c r="S490" s="63"/>
      <c r="T490" s="72" t="s">
        <v>73</v>
      </c>
      <c r="U490" s="109">
        <f t="shared" ref="U490:U495" si="99">Y489</f>
        <v>8000</v>
      </c>
      <c r="V490" s="74"/>
      <c r="W490" s="74">
        <f>V490+U490</f>
        <v>8000</v>
      </c>
      <c r="X490" s="74">
        <v>2000</v>
      </c>
      <c r="Y490" s="109">
        <f>IF(W490="","",W490-X490)</f>
        <v>6000</v>
      </c>
      <c r="Z490" s="63"/>
    </row>
    <row r="491" spans="1:26" s="29" customFormat="1" ht="21" hidden="1" customHeight="1" x14ac:dyDescent="0.2">
      <c r="A491" s="30"/>
      <c r="B491" s="44" t="s">
        <v>43</v>
      </c>
      <c r="C491" s="45"/>
      <c r="F491" s="468" t="s">
        <v>45</v>
      </c>
      <c r="G491" s="468"/>
      <c r="I491" s="468" t="s">
        <v>46</v>
      </c>
      <c r="J491" s="468"/>
      <c r="K491" s="468"/>
      <c r="L491" s="46"/>
      <c r="N491" s="71"/>
      <c r="O491" s="72" t="s">
        <v>48</v>
      </c>
      <c r="P491" s="72">
        <v>30</v>
      </c>
      <c r="Q491" s="72">
        <v>1</v>
      </c>
      <c r="R491" s="72">
        <f t="shared" ref="R491:R500" si="100">IF(Q491="","",R490-Q491)</f>
        <v>10</v>
      </c>
      <c r="S491" s="63"/>
      <c r="T491" s="72" t="s">
        <v>48</v>
      </c>
      <c r="U491" s="109">
        <f t="shared" si="99"/>
        <v>6000</v>
      </c>
      <c r="V491" s="74"/>
      <c r="W491" s="74">
        <f>V491+U491</f>
        <v>6000</v>
      </c>
      <c r="X491" s="74">
        <v>2000</v>
      </c>
      <c r="Y491" s="109">
        <f t="shared" ref="Y491:Y500" si="101">IF(W491="","",W491-X491)</f>
        <v>4000</v>
      </c>
      <c r="Z491" s="63"/>
    </row>
    <row r="492" spans="1:26" s="29" customFormat="1" ht="21" hidden="1" customHeight="1" x14ac:dyDescent="0.2">
      <c r="A492" s="30"/>
      <c r="H492" s="47"/>
      <c r="L492" s="34"/>
      <c r="N492" s="71"/>
      <c r="O492" s="72" t="s">
        <v>49</v>
      </c>
      <c r="P492" s="72">
        <v>30</v>
      </c>
      <c r="Q492" s="72">
        <v>0</v>
      </c>
      <c r="R492" s="72">
        <f t="shared" si="100"/>
        <v>10</v>
      </c>
      <c r="S492" s="63"/>
      <c r="T492" s="72" t="s">
        <v>49</v>
      </c>
      <c r="U492" s="109">
        <f t="shared" si="99"/>
        <v>4000</v>
      </c>
      <c r="V492" s="74"/>
      <c r="W492" s="109">
        <f t="shared" ref="W492:W500" si="102">IF(U492="","",U492+V492)</f>
        <v>4000</v>
      </c>
      <c r="X492" s="74">
        <v>2000</v>
      </c>
      <c r="Y492" s="109">
        <f t="shared" si="101"/>
        <v>2000</v>
      </c>
      <c r="Z492" s="63"/>
    </row>
    <row r="493" spans="1:26" s="29" customFormat="1" ht="21" hidden="1" customHeight="1" x14ac:dyDescent="0.2">
      <c r="A493" s="30"/>
      <c r="B493" s="472" t="s">
        <v>44</v>
      </c>
      <c r="C493" s="473"/>
      <c r="F493" s="48" t="s">
        <v>66</v>
      </c>
      <c r="G493" s="43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47"/>
      <c r="I493" s="49"/>
      <c r="J493" s="50" t="s">
        <v>63</v>
      </c>
      <c r="K493" s="51">
        <f>K489/$K$2*I493</f>
        <v>0</v>
      </c>
      <c r="L493" s="52"/>
      <c r="N493" s="71"/>
      <c r="O493" s="72" t="s">
        <v>50</v>
      </c>
      <c r="P493" s="72">
        <v>31</v>
      </c>
      <c r="Q493" s="72">
        <v>0</v>
      </c>
      <c r="R493" s="72">
        <f t="shared" si="100"/>
        <v>10</v>
      </c>
      <c r="S493" s="63"/>
      <c r="T493" s="72" t="s">
        <v>50</v>
      </c>
      <c r="U493" s="109">
        <f t="shared" si="99"/>
        <v>2000</v>
      </c>
      <c r="V493" s="74"/>
      <c r="W493" s="109">
        <f t="shared" si="102"/>
        <v>2000</v>
      </c>
      <c r="X493" s="74">
        <v>1000</v>
      </c>
      <c r="Y493" s="109">
        <f t="shared" si="101"/>
        <v>1000</v>
      </c>
      <c r="Z493" s="63"/>
    </row>
    <row r="494" spans="1:26" s="29" customFormat="1" ht="21" hidden="1" customHeight="1" x14ac:dyDescent="0.2">
      <c r="A494" s="30"/>
      <c r="B494" s="39"/>
      <c r="C494" s="39"/>
      <c r="F494" s="48" t="s">
        <v>22</v>
      </c>
      <c r="G494" s="43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7"/>
      <c r="I494" s="84"/>
      <c r="J494" s="50" t="s">
        <v>64</v>
      </c>
      <c r="K494" s="53">
        <f>K489/$K$2/8*I494</f>
        <v>0</v>
      </c>
      <c r="L494" s="54"/>
      <c r="N494" s="71"/>
      <c r="O494" s="72" t="s">
        <v>51</v>
      </c>
      <c r="P494" s="72">
        <v>30</v>
      </c>
      <c r="Q494" s="72">
        <v>0</v>
      </c>
      <c r="R494" s="72">
        <f t="shared" si="100"/>
        <v>10</v>
      </c>
      <c r="S494" s="63"/>
      <c r="T494" s="72" t="s">
        <v>51</v>
      </c>
      <c r="U494" s="109">
        <f t="shared" si="99"/>
        <v>1000</v>
      </c>
      <c r="V494" s="74"/>
      <c r="W494" s="109">
        <f t="shared" si="102"/>
        <v>1000</v>
      </c>
      <c r="X494" s="74">
        <v>1000</v>
      </c>
      <c r="Y494" s="109">
        <f t="shared" si="101"/>
        <v>0</v>
      </c>
      <c r="Z494" s="63"/>
    </row>
    <row r="495" spans="1:26" s="29" customFormat="1" ht="21" hidden="1" customHeight="1" x14ac:dyDescent="0.2">
      <c r="A495" s="30"/>
      <c r="B495" s="48" t="s">
        <v>7</v>
      </c>
      <c r="C495" s="39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F495" s="48" t="s">
        <v>67</v>
      </c>
      <c r="G495" s="43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0</v>
      </c>
      <c r="H495" s="47"/>
      <c r="I495" s="456" t="s">
        <v>71</v>
      </c>
      <c r="J495" s="457"/>
      <c r="K495" s="53">
        <f>K493+K494</f>
        <v>0</v>
      </c>
      <c r="L495" s="54"/>
      <c r="N495" s="71"/>
      <c r="O495" s="72" t="s">
        <v>52</v>
      </c>
      <c r="P495" s="72">
        <v>31</v>
      </c>
      <c r="Q495" s="72">
        <v>0</v>
      </c>
      <c r="R495" s="72">
        <f t="shared" si="100"/>
        <v>10</v>
      </c>
      <c r="S495" s="63"/>
      <c r="T495" s="72" t="s">
        <v>52</v>
      </c>
      <c r="U495" s="109">
        <f t="shared" si="99"/>
        <v>0</v>
      </c>
      <c r="V495" s="74"/>
      <c r="W495" s="109">
        <f t="shared" si="102"/>
        <v>0</v>
      </c>
      <c r="X495" s="74"/>
      <c r="Y495" s="109">
        <f t="shared" si="101"/>
        <v>0</v>
      </c>
      <c r="Z495" s="63"/>
    </row>
    <row r="496" spans="1:26" s="29" customFormat="1" ht="21" hidden="1" customHeight="1" x14ac:dyDescent="0.2">
      <c r="A496" s="30"/>
      <c r="B496" s="48" t="s">
        <v>6</v>
      </c>
      <c r="C496" s="39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F496" s="48" t="s">
        <v>23</v>
      </c>
      <c r="G496" s="43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47"/>
      <c r="I496" s="456" t="s">
        <v>72</v>
      </c>
      <c r="J496" s="457"/>
      <c r="K496" s="43">
        <f>G496</f>
        <v>0</v>
      </c>
      <c r="L496" s="55"/>
      <c r="N496" s="71"/>
      <c r="O496" s="72" t="s">
        <v>53</v>
      </c>
      <c r="P496" s="72">
        <v>31</v>
      </c>
      <c r="Q496" s="72">
        <v>0</v>
      </c>
      <c r="R496" s="72">
        <f t="shared" si="100"/>
        <v>10</v>
      </c>
      <c r="S496" s="63"/>
      <c r="T496" s="72" t="s">
        <v>53</v>
      </c>
      <c r="U496" s="109">
        <v>0</v>
      </c>
      <c r="V496" s="74">
        <v>6000</v>
      </c>
      <c r="W496" s="109">
        <f t="shared" si="102"/>
        <v>6000</v>
      </c>
      <c r="X496" s="74">
        <v>1500</v>
      </c>
      <c r="Y496" s="109">
        <f t="shared" si="101"/>
        <v>4500</v>
      </c>
      <c r="Z496" s="63"/>
    </row>
    <row r="497" spans="1:27" s="29" customFormat="1" ht="21" hidden="1" customHeight="1" x14ac:dyDescent="0.2">
      <c r="A497" s="30"/>
      <c r="B497" s="56" t="s">
        <v>70</v>
      </c>
      <c r="C497" s="39" t="str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/>
      </c>
      <c r="F497" s="48" t="s">
        <v>69</v>
      </c>
      <c r="G497" s="43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I497" s="458" t="s">
        <v>65</v>
      </c>
      <c r="J497" s="459"/>
      <c r="K497" s="57">
        <f>K495-K496</f>
        <v>0</v>
      </c>
      <c r="L497" s="58"/>
      <c r="N497" s="71"/>
      <c r="O497" s="72" t="s">
        <v>58</v>
      </c>
      <c r="P497" s="72">
        <v>27</v>
      </c>
      <c r="Q497" s="72">
        <v>3</v>
      </c>
      <c r="R497" s="72">
        <f t="shared" si="100"/>
        <v>7</v>
      </c>
      <c r="S497" s="63"/>
      <c r="T497" s="72" t="s">
        <v>58</v>
      </c>
      <c r="U497" s="109">
        <f>Y496</f>
        <v>4500</v>
      </c>
      <c r="V497" s="74"/>
      <c r="W497" s="109">
        <f t="shared" si="102"/>
        <v>4500</v>
      </c>
      <c r="X497" s="74">
        <v>4500</v>
      </c>
      <c r="Y497" s="109">
        <f t="shared" si="101"/>
        <v>0</v>
      </c>
      <c r="Z497" s="63"/>
    </row>
    <row r="498" spans="1:27" s="29" customFormat="1" ht="21" hidden="1" customHeight="1" x14ac:dyDescent="0.2">
      <c r="A498" s="30"/>
      <c r="K498" s="113"/>
      <c r="L498" s="46"/>
      <c r="N498" s="71"/>
      <c r="O498" s="72" t="s">
        <v>54</v>
      </c>
      <c r="P498" s="72"/>
      <c r="Q498" s="72"/>
      <c r="R498" s="72" t="str">
        <f t="shared" si="100"/>
        <v/>
      </c>
      <c r="S498" s="63"/>
      <c r="T498" s="72" t="s">
        <v>54</v>
      </c>
      <c r="U498" s="109">
        <f>Y497</f>
        <v>0</v>
      </c>
      <c r="V498" s="74"/>
      <c r="W498" s="109">
        <f t="shared" si="102"/>
        <v>0</v>
      </c>
      <c r="X498" s="74"/>
      <c r="Y498" s="109">
        <f t="shared" si="101"/>
        <v>0</v>
      </c>
      <c r="Z498" s="63"/>
    </row>
    <row r="499" spans="1:27" s="29" customFormat="1" ht="21" hidden="1" customHeight="1" x14ac:dyDescent="0.2">
      <c r="A499" s="30"/>
      <c r="B499" s="455" t="s">
        <v>94</v>
      </c>
      <c r="C499" s="455"/>
      <c r="D499" s="455"/>
      <c r="E499" s="455"/>
      <c r="F499" s="455"/>
      <c r="G499" s="455"/>
      <c r="H499" s="455"/>
      <c r="I499" s="455"/>
      <c r="J499" s="455"/>
      <c r="K499" s="455"/>
      <c r="L499" s="46"/>
      <c r="N499" s="71"/>
      <c r="O499" s="72" t="s">
        <v>59</v>
      </c>
      <c r="P499" s="72"/>
      <c r="Q499" s="72"/>
      <c r="R499" s="72" t="str">
        <f t="shared" si="100"/>
        <v/>
      </c>
      <c r="S499" s="63"/>
      <c r="T499" s="72" t="s">
        <v>59</v>
      </c>
      <c r="U499" s="109"/>
      <c r="V499" s="74"/>
      <c r="W499" s="109" t="str">
        <f t="shared" si="102"/>
        <v/>
      </c>
      <c r="X499" s="74"/>
      <c r="Y499" s="109" t="str">
        <f t="shared" si="101"/>
        <v/>
      </c>
      <c r="Z499" s="63"/>
    </row>
    <row r="500" spans="1:27" s="29" customFormat="1" ht="21" hidden="1" customHeight="1" x14ac:dyDescent="0.2">
      <c r="A500" s="30"/>
      <c r="B500" s="455"/>
      <c r="C500" s="455"/>
      <c r="D500" s="455"/>
      <c r="E500" s="455"/>
      <c r="F500" s="455"/>
      <c r="G500" s="455"/>
      <c r="H500" s="455"/>
      <c r="I500" s="455"/>
      <c r="J500" s="455"/>
      <c r="K500" s="455"/>
      <c r="L500" s="46"/>
      <c r="N500" s="71"/>
      <c r="O500" s="72" t="s">
        <v>60</v>
      </c>
      <c r="P500" s="72"/>
      <c r="Q500" s="72"/>
      <c r="R500" s="72" t="str">
        <f t="shared" si="100"/>
        <v/>
      </c>
      <c r="S500" s="63"/>
      <c r="T500" s="72" t="s">
        <v>60</v>
      </c>
      <c r="U500" s="109"/>
      <c r="V500" s="74"/>
      <c r="W500" s="109" t="str">
        <f t="shared" si="102"/>
        <v/>
      </c>
      <c r="X500" s="74"/>
      <c r="Y500" s="109" t="str">
        <f t="shared" si="101"/>
        <v/>
      </c>
      <c r="Z500" s="63"/>
    </row>
    <row r="501" spans="1:27" s="29" customFormat="1" ht="21" hidden="1" customHeight="1" thickBot="1" x14ac:dyDescent="0.25">
      <c r="A501" s="5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1"/>
      <c r="N501" s="77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63"/>
    </row>
    <row r="502" spans="1:27" s="29" customFormat="1" ht="21" hidden="1" customHeight="1" thickBot="1" x14ac:dyDescent="0.25"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7" s="29" customFormat="1" ht="21" hidden="1" customHeight="1" x14ac:dyDescent="0.2">
      <c r="A503" s="460" t="s">
        <v>42</v>
      </c>
      <c r="B503" s="461"/>
      <c r="C503" s="461"/>
      <c r="D503" s="461"/>
      <c r="E503" s="461"/>
      <c r="F503" s="461"/>
      <c r="G503" s="461"/>
      <c r="H503" s="461"/>
      <c r="I503" s="461"/>
      <c r="J503" s="461"/>
      <c r="K503" s="461"/>
      <c r="L503" s="462"/>
      <c r="M503" s="28"/>
      <c r="N503" s="64"/>
      <c r="O503" s="469" t="s">
        <v>44</v>
      </c>
      <c r="P503" s="470"/>
      <c r="Q503" s="470"/>
      <c r="R503" s="471"/>
      <c r="S503" s="65"/>
      <c r="T503" s="469" t="s">
        <v>45</v>
      </c>
      <c r="U503" s="470"/>
      <c r="V503" s="470"/>
      <c r="W503" s="470"/>
      <c r="X503" s="470"/>
      <c r="Y503" s="471"/>
      <c r="Z503" s="66"/>
      <c r="AA503" s="28"/>
    </row>
    <row r="504" spans="1:27" s="29" customFormat="1" ht="21" hidden="1" customHeight="1" x14ac:dyDescent="0.2">
      <c r="A504" s="30"/>
      <c r="C504" s="466" t="s">
        <v>92</v>
      </c>
      <c r="D504" s="466"/>
      <c r="E504" s="466"/>
      <c r="F504" s="466"/>
      <c r="G504" s="31" t="str">
        <f>$J$1</f>
        <v>October</v>
      </c>
      <c r="H504" s="467">
        <f>$K$1</f>
        <v>2022</v>
      </c>
      <c r="I504" s="467"/>
      <c r="K504" s="32"/>
      <c r="L504" s="33"/>
      <c r="M504" s="32"/>
      <c r="N504" s="67"/>
      <c r="O504" s="68" t="s">
        <v>55</v>
      </c>
      <c r="P504" s="68" t="s">
        <v>7</v>
      </c>
      <c r="Q504" s="68" t="s">
        <v>6</v>
      </c>
      <c r="R504" s="68" t="s">
        <v>56</v>
      </c>
      <c r="S504" s="69"/>
      <c r="T504" s="68" t="s">
        <v>55</v>
      </c>
      <c r="U504" s="68" t="s">
        <v>57</v>
      </c>
      <c r="V504" s="68" t="s">
        <v>22</v>
      </c>
      <c r="W504" s="68" t="s">
        <v>21</v>
      </c>
      <c r="X504" s="68" t="s">
        <v>23</v>
      </c>
      <c r="Y504" s="68" t="s">
        <v>61</v>
      </c>
      <c r="Z504" s="70"/>
      <c r="AA504" s="32"/>
    </row>
    <row r="505" spans="1:27" s="29" customFormat="1" ht="21" hidden="1" customHeight="1" x14ac:dyDescent="0.2">
      <c r="A505" s="30"/>
      <c r="D505" s="35"/>
      <c r="E505" s="35"/>
      <c r="F505" s="35"/>
      <c r="G505" s="35"/>
      <c r="H505" s="35"/>
      <c r="J505" s="36" t="s">
        <v>1</v>
      </c>
      <c r="K505" s="37"/>
      <c r="L505" s="38"/>
      <c r="N505" s="71"/>
      <c r="O505" s="72" t="s">
        <v>47</v>
      </c>
      <c r="P505" s="72">
        <v>31</v>
      </c>
      <c r="Q505" s="72">
        <v>0</v>
      </c>
      <c r="R505" s="72"/>
      <c r="S505" s="73"/>
      <c r="T505" s="72" t="s">
        <v>47</v>
      </c>
      <c r="U505" s="74"/>
      <c r="V505" s="74"/>
      <c r="W505" s="74">
        <f>V505+U505</f>
        <v>0</v>
      </c>
      <c r="X505" s="74"/>
      <c r="Y505" s="74">
        <f>W505-X505</f>
        <v>0</v>
      </c>
      <c r="Z505" s="70"/>
    </row>
    <row r="506" spans="1:27" s="29" customFormat="1" ht="21" hidden="1" customHeight="1" x14ac:dyDescent="0.2">
      <c r="A506" s="30"/>
      <c r="B506" s="29" t="s">
        <v>0</v>
      </c>
      <c r="C506" s="40" t="s">
        <v>237</v>
      </c>
      <c r="H506" s="41"/>
      <c r="I506" s="35"/>
      <c r="L506" s="42"/>
      <c r="M506" s="28"/>
      <c r="N506" s="75"/>
      <c r="O506" s="72" t="s">
        <v>73</v>
      </c>
      <c r="P506" s="72">
        <v>28</v>
      </c>
      <c r="Q506" s="72">
        <v>0</v>
      </c>
      <c r="R506" s="72">
        <f t="shared" ref="R506:R513" si="103">IF(Q506="","",R505-Q506)</f>
        <v>0</v>
      </c>
      <c r="S506" s="63"/>
      <c r="T506" s="72" t="s">
        <v>73</v>
      </c>
      <c r="U506" s="109">
        <f>Y505</f>
        <v>0</v>
      </c>
      <c r="V506" s="74"/>
      <c r="W506" s="109">
        <f>IF(U506="","",U506+V506)</f>
        <v>0</v>
      </c>
      <c r="X506" s="74"/>
      <c r="Y506" s="109">
        <f>IF(W506="","",W506-X506)</f>
        <v>0</v>
      </c>
      <c r="Z506" s="76"/>
      <c r="AA506" s="28"/>
    </row>
    <row r="507" spans="1:27" s="29" customFormat="1" ht="21" hidden="1" customHeight="1" x14ac:dyDescent="0.2">
      <c r="A507" s="30"/>
      <c r="B507" s="44" t="s">
        <v>43</v>
      </c>
      <c r="C507" s="45"/>
      <c r="F507" s="468" t="s">
        <v>45</v>
      </c>
      <c r="G507" s="468"/>
      <c r="I507" s="468" t="s">
        <v>46</v>
      </c>
      <c r="J507" s="468"/>
      <c r="K507" s="468"/>
      <c r="L507" s="46"/>
      <c r="N507" s="71"/>
      <c r="O507" s="72" t="s">
        <v>48</v>
      </c>
      <c r="P507" s="72">
        <v>30</v>
      </c>
      <c r="Q507" s="72">
        <v>1</v>
      </c>
      <c r="R507" s="72">
        <v>0</v>
      </c>
      <c r="S507" s="63"/>
      <c r="T507" s="72" t="s">
        <v>48</v>
      </c>
      <c r="U507" s="109" t="str">
        <f>IF($J$1="March",Y506,"")</f>
        <v/>
      </c>
      <c r="V507" s="74"/>
      <c r="W507" s="109" t="str">
        <f t="shared" ref="W507:W516" si="104">IF(U507="","",U507+V507)</f>
        <v/>
      </c>
      <c r="X507" s="74"/>
      <c r="Y507" s="109" t="str">
        <f t="shared" ref="Y507:Y516" si="105">IF(W507="","",W507-X507)</f>
        <v/>
      </c>
      <c r="Z507" s="76"/>
    </row>
    <row r="508" spans="1:27" s="29" customFormat="1" ht="21" hidden="1" customHeight="1" x14ac:dyDescent="0.2">
      <c r="A508" s="30"/>
      <c r="H508" s="47"/>
      <c r="L508" s="34"/>
      <c r="N508" s="71"/>
      <c r="O508" s="72" t="s">
        <v>49</v>
      </c>
      <c r="P508" s="72">
        <v>30</v>
      </c>
      <c r="Q508" s="72">
        <v>0</v>
      </c>
      <c r="R508" s="72">
        <f t="shared" si="103"/>
        <v>0</v>
      </c>
      <c r="S508" s="63"/>
      <c r="T508" s="72" t="s">
        <v>49</v>
      </c>
      <c r="U508" s="109"/>
      <c r="V508" s="74"/>
      <c r="W508" s="109" t="str">
        <f t="shared" si="104"/>
        <v/>
      </c>
      <c r="X508" s="74"/>
      <c r="Y508" s="109" t="str">
        <f t="shared" si="105"/>
        <v/>
      </c>
      <c r="Z508" s="76"/>
    </row>
    <row r="509" spans="1:27" s="29" customFormat="1" ht="21" hidden="1" customHeight="1" x14ac:dyDescent="0.2">
      <c r="A509" s="30"/>
      <c r="B509" s="472" t="s">
        <v>44</v>
      </c>
      <c r="C509" s="473"/>
      <c r="F509" s="48" t="s">
        <v>66</v>
      </c>
      <c r="G509" s="4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7"/>
      <c r="I509" s="49">
        <f>IF(C513&gt;0,$K$2,C511)</f>
        <v>0</v>
      </c>
      <c r="J509" s="50" t="s">
        <v>63</v>
      </c>
      <c r="K509" s="51">
        <f>K505/$K$2*I509</f>
        <v>0</v>
      </c>
      <c r="L509" s="52"/>
      <c r="N509" s="71"/>
      <c r="O509" s="72" t="s">
        <v>50</v>
      </c>
      <c r="P509" s="72">
        <v>31</v>
      </c>
      <c r="Q509" s="72">
        <v>0</v>
      </c>
      <c r="R509" s="72">
        <f t="shared" si="103"/>
        <v>0</v>
      </c>
      <c r="S509" s="63"/>
      <c r="T509" s="72" t="s">
        <v>50</v>
      </c>
      <c r="U509" s="109" t="str">
        <f>Y508</f>
        <v/>
      </c>
      <c r="V509" s="74"/>
      <c r="W509" s="109" t="str">
        <f t="shared" si="104"/>
        <v/>
      </c>
      <c r="X509" s="74"/>
      <c r="Y509" s="109" t="str">
        <f t="shared" si="105"/>
        <v/>
      </c>
      <c r="Z509" s="76"/>
    </row>
    <row r="510" spans="1:27" s="29" customFormat="1" ht="21" hidden="1" customHeight="1" x14ac:dyDescent="0.2">
      <c r="A510" s="30"/>
      <c r="B510" s="39"/>
      <c r="C510" s="39"/>
      <c r="F510" s="48" t="s">
        <v>22</v>
      </c>
      <c r="G510" s="11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7"/>
      <c r="I510" s="84"/>
      <c r="J510" s="50" t="s">
        <v>64</v>
      </c>
      <c r="K510" s="53">
        <f>K505/$K$2/8*I510</f>
        <v>0</v>
      </c>
      <c r="L510" s="54"/>
      <c r="N510" s="71"/>
      <c r="O510" s="72" t="s">
        <v>51</v>
      </c>
      <c r="P510" s="72">
        <v>19</v>
      </c>
      <c r="Q510" s="72">
        <v>11</v>
      </c>
      <c r="R510" s="72">
        <v>0</v>
      </c>
      <c r="S510" s="63"/>
      <c r="T510" s="72" t="s">
        <v>51</v>
      </c>
      <c r="U510" s="109"/>
      <c r="V510" s="74"/>
      <c r="W510" s="109" t="str">
        <f t="shared" si="104"/>
        <v/>
      </c>
      <c r="X510" s="74"/>
      <c r="Y510" s="109" t="str">
        <f t="shared" si="105"/>
        <v/>
      </c>
      <c r="Z510" s="76"/>
    </row>
    <row r="511" spans="1:27" s="29" customFormat="1" ht="21" hidden="1" customHeight="1" x14ac:dyDescent="0.2">
      <c r="A511" s="30"/>
      <c r="B511" s="48" t="s">
        <v>7</v>
      </c>
      <c r="C511" s="39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F511" s="48" t="s">
        <v>67</v>
      </c>
      <c r="G511" s="115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11" s="47"/>
      <c r="I511" s="456" t="s">
        <v>71</v>
      </c>
      <c r="J511" s="457"/>
      <c r="K511" s="53">
        <f>K509+K510</f>
        <v>0</v>
      </c>
      <c r="L511" s="54"/>
      <c r="N511" s="71"/>
      <c r="O511" s="72" t="s">
        <v>52</v>
      </c>
      <c r="P511" s="72"/>
      <c r="Q511" s="72"/>
      <c r="R511" s="72" t="str">
        <f t="shared" si="103"/>
        <v/>
      </c>
      <c r="S511" s="63"/>
      <c r="T511" s="72" t="s">
        <v>52</v>
      </c>
      <c r="U511" s="109"/>
      <c r="V511" s="74"/>
      <c r="W511" s="109" t="str">
        <f t="shared" si="104"/>
        <v/>
      </c>
      <c r="X511" s="74"/>
      <c r="Y511" s="109" t="str">
        <f t="shared" si="105"/>
        <v/>
      </c>
      <c r="Z511" s="76"/>
    </row>
    <row r="512" spans="1:27" s="29" customFormat="1" ht="21" hidden="1" customHeight="1" x14ac:dyDescent="0.2">
      <c r="A512" s="30"/>
      <c r="B512" s="48" t="s">
        <v>6</v>
      </c>
      <c r="C512" s="39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F512" s="48" t="s">
        <v>23</v>
      </c>
      <c r="G512" s="11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7"/>
      <c r="I512" s="456" t="s">
        <v>72</v>
      </c>
      <c r="J512" s="457"/>
      <c r="K512" s="43">
        <f>G512</f>
        <v>0</v>
      </c>
      <c r="L512" s="55"/>
      <c r="N512" s="71"/>
      <c r="O512" s="72" t="s">
        <v>53</v>
      </c>
      <c r="P512" s="72"/>
      <c r="Q512" s="72"/>
      <c r="R512" s="72" t="str">
        <f t="shared" si="103"/>
        <v/>
      </c>
      <c r="S512" s="63"/>
      <c r="T512" s="72" t="s">
        <v>53</v>
      </c>
      <c r="U512" s="109"/>
      <c r="V512" s="74"/>
      <c r="W512" s="109" t="str">
        <f t="shared" si="104"/>
        <v/>
      </c>
      <c r="X512" s="74"/>
      <c r="Y512" s="109" t="str">
        <f t="shared" si="105"/>
        <v/>
      </c>
      <c r="Z512" s="76"/>
    </row>
    <row r="513" spans="1:27" s="29" customFormat="1" ht="21" hidden="1" customHeight="1" x14ac:dyDescent="0.2">
      <c r="A513" s="30"/>
      <c r="B513" s="56" t="s">
        <v>70</v>
      </c>
      <c r="C513" s="39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F513" s="48" t="s">
        <v>69</v>
      </c>
      <c r="G513" s="115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I513" s="458" t="s">
        <v>65</v>
      </c>
      <c r="J513" s="459"/>
      <c r="K513" s="57">
        <f>K511-K512</f>
        <v>0</v>
      </c>
      <c r="L513" s="58"/>
      <c r="N513" s="71"/>
      <c r="O513" s="72" t="s">
        <v>58</v>
      </c>
      <c r="P513" s="72"/>
      <c r="Q513" s="72"/>
      <c r="R513" s="72" t="str">
        <f t="shared" si="103"/>
        <v/>
      </c>
      <c r="S513" s="63"/>
      <c r="T513" s="72" t="s">
        <v>58</v>
      </c>
      <c r="U513" s="109"/>
      <c r="V513" s="74"/>
      <c r="W513" s="109" t="str">
        <f t="shared" si="104"/>
        <v/>
      </c>
      <c r="X513" s="74"/>
      <c r="Y513" s="109" t="str">
        <f t="shared" si="105"/>
        <v/>
      </c>
      <c r="Z513" s="76"/>
    </row>
    <row r="514" spans="1:27" s="29" customFormat="1" ht="21" hidden="1" customHeight="1" x14ac:dyDescent="0.2">
      <c r="A514" s="30"/>
      <c r="L514" s="46"/>
      <c r="N514" s="71"/>
      <c r="O514" s="72" t="s">
        <v>54</v>
      </c>
      <c r="P514" s="72"/>
      <c r="Q514" s="72"/>
      <c r="R514" s="72"/>
      <c r="S514" s="63"/>
      <c r="T514" s="72" t="s">
        <v>54</v>
      </c>
      <c r="U514" s="109"/>
      <c r="V514" s="74"/>
      <c r="W514" s="109" t="str">
        <f t="shared" si="104"/>
        <v/>
      </c>
      <c r="X514" s="74"/>
      <c r="Y514" s="109" t="str">
        <f t="shared" si="105"/>
        <v/>
      </c>
      <c r="Z514" s="76"/>
    </row>
    <row r="515" spans="1:27" s="29" customFormat="1" ht="21" hidden="1" customHeight="1" x14ac:dyDescent="0.2">
      <c r="A515" s="30"/>
      <c r="B515" s="455" t="s">
        <v>94</v>
      </c>
      <c r="C515" s="455"/>
      <c r="D515" s="455"/>
      <c r="E515" s="455"/>
      <c r="F515" s="455"/>
      <c r="G515" s="455"/>
      <c r="H515" s="455"/>
      <c r="I515" s="455"/>
      <c r="J515" s="455"/>
      <c r="K515" s="455"/>
      <c r="L515" s="46"/>
      <c r="N515" s="71"/>
      <c r="O515" s="72" t="s">
        <v>59</v>
      </c>
      <c r="P515" s="72"/>
      <c r="Q515" s="72"/>
      <c r="R515" s="72"/>
      <c r="S515" s="63"/>
      <c r="T515" s="72" t="s">
        <v>59</v>
      </c>
      <c r="U515" s="109"/>
      <c r="V515" s="74"/>
      <c r="W515" s="109" t="str">
        <f t="shared" si="104"/>
        <v/>
      </c>
      <c r="X515" s="74"/>
      <c r="Y515" s="109" t="str">
        <f t="shared" si="105"/>
        <v/>
      </c>
      <c r="Z515" s="76"/>
    </row>
    <row r="516" spans="1:27" s="29" customFormat="1" ht="21" hidden="1" customHeight="1" x14ac:dyDescent="0.2">
      <c r="A516" s="30"/>
      <c r="B516" s="455"/>
      <c r="C516" s="455"/>
      <c r="D516" s="455"/>
      <c r="E516" s="455"/>
      <c r="F516" s="455"/>
      <c r="G516" s="455"/>
      <c r="H516" s="455"/>
      <c r="I516" s="455"/>
      <c r="J516" s="455"/>
      <c r="K516" s="455"/>
      <c r="L516" s="46"/>
      <c r="N516" s="71"/>
      <c r="O516" s="72" t="s">
        <v>60</v>
      </c>
      <c r="P516" s="72"/>
      <c r="Q516" s="72"/>
      <c r="R516" s="72" t="str">
        <f t="shared" ref="R516" si="106">IF(Q516="","",R515-Q516)</f>
        <v/>
      </c>
      <c r="S516" s="63"/>
      <c r="T516" s="72" t="s">
        <v>60</v>
      </c>
      <c r="U516" s="109"/>
      <c r="V516" s="74"/>
      <c r="W516" s="109" t="str">
        <f t="shared" si="104"/>
        <v/>
      </c>
      <c r="X516" s="74"/>
      <c r="Y516" s="109" t="str">
        <f t="shared" si="105"/>
        <v/>
      </c>
      <c r="Z516" s="76"/>
    </row>
    <row r="517" spans="1:27" s="29" customFormat="1" ht="21" hidden="1" customHeight="1" thickBot="1" x14ac:dyDescent="0.25">
      <c r="A517" s="5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1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7" s="29" customFormat="1" ht="21" customHeight="1" x14ac:dyDescent="0.2">
      <c r="A518" s="511" t="s">
        <v>42</v>
      </c>
      <c r="B518" s="512"/>
      <c r="C518" s="512"/>
      <c r="D518" s="512"/>
      <c r="E518" s="512"/>
      <c r="F518" s="512"/>
      <c r="G518" s="512"/>
      <c r="H518" s="512"/>
      <c r="I518" s="512"/>
      <c r="J518" s="512"/>
      <c r="K518" s="512"/>
      <c r="L518" s="513"/>
      <c r="M518" s="28"/>
      <c r="N518" s="64"/>
      <c r="O518" s="469" t="s">
        <v>44</v>
      </c>
      <c r="P518" s="470"/>
      <c r="Q518" s="470"/>
      <c r="R518" s="471"/>
      <c r="S518" s="65"/>
      <c r="T518" s="469" t="s">
        <v>45</v>
      </c>
      <c r="U518" s="470"/>
      <c r="V518" s="470"/>
      <c r="W518" s="470"/>
      <c r="X518" s="470"/>
      <c r="Y518" s="471"/>
      <c r="Z518" s="66"/>
      <c r="AA518" s="28"/>
    </row>
    <row r="519" spans="1:27" s="29" customFormat="1" ht="21" customHeight="1" x14ac:dyDescent="0.2">
      <c r="A519" s="30"/>
      <c r="C519" s="466" t="s">
        <v>92</v>
      </c>
      <c r="D519" s="466"/>
      <c r="E519" s="466"/>
      <c r="F519" s="466"/>
      <c r="G519" s="31" t="str">
        <f>$J$1</f>
        <v>October</v>
      </c>
      <c r="H519" s="467">
        <f>$K$1</f>
        <v>2022</v>
      </c>
      <c r="I519" s="467"/>
      <c r="K519" s="32"/>
      <c r="L519" s="33"/>
      <c r="M519" s="32"/>
      <c r="N519" s="67"/>
      <c r="O519" s="68" t="s">
        <v>55</v>
      </c>
      <c r="P519" s="68" t="s">
        <v>7</v>
      </c>
      <c r="Q519" s="68" t="s">
        <v>6</v>
      </c>
      <c r="R519" s="68" t="s">
        <v>56</v>
      </c>
      <c r="S519" s="69"/>
      <c r="T519" s="68" t="s">
        <v>55</v>
      </c>
      <c r="U519" s="68" t="s">
        <v>57</v>
      </c>
      <c r="V519" s="68" t="s">
        <v>22</v>
      </c>
      <c r="W519" s="68" t="s">
        <v>21</v>
      </c>
      <c r="X519" s="68" t="s">
        <v>23</v>
      </c>
      <c r="Y519" s="68" t="s">
        <v>61</v>
      </c>
      <c r="Z519" s="70"/>
      <c r="AA519" s="32"/>
    </row>
    <row r="520" spans="1:27" s="29" customFormat="1" ht="21" customHeight="1" x14ac:dyDescent="0.2">
      <c r="A520" s="30"/>
      <c r="D520" s="35"/>
      <c r="E520" s="35"/>
      <c r="F520" s="35"/>
      <c r="G520" s="35"/>
      <c r="H520" s="35"/>
      <c r="J520" s="36" t="s">
        <v>1</v>
      </c>
      <c r="K520" s="37">
        <v>1200</v>
      </c>
      <c r="L520" s="38"/>
      <c r="N520" s="71"/>
      <c r="O520" s="72" t="s">
        <v>47</v>
      </c>
      <c r="P520" s="72"/>
      <c r="Q520" s="72"/>
      <c r="R520" s="72"/>
      <c r="S520" s="73"/>
      <c r="T520" s="72" t="s">
        <v>47</v>
      </c>
      <c r="U520" s="74">
        <v>50000</v>
      </c>
      <c r="V520" s="74">
        <v>6000</v>
      </c>
      <c r="W520" s="74">
        <f>V520+U520</f>
        <v>56000</v>
      </c>
      <c r="X520" s="74">
        <v>9000</v>
      </c>
      <c r="Y520" s="74">
        <f>W520-X520</f>
        <v>47000</v>
      </c>
      <c r="Z520" s="70"/>
    </row>
    <row r="521" spans="1:27" s="29" customFormat="1" ht="21" customHeight="1" x14ac:dyDescent="0.2">
      <c r="A521" s="30"/>
      <c r="B521" s="29" t="s">
        <v>0</v>
      </c>
      <c r="C521" s="40" t="s">
        <v>227</v>
      </c>
      <c r="H521" s="41"/>
      <c r="I521" s="35"/>
      <c r="L521" s="42"/>
      <c r="M521" s="28"/>
      <c r="N521" s="75"/>
      <c r="O521" s="72" t="s">
        <v>73</v>
      </c>
      <c r="P521" s="72"/>
      <c r="Q521" s="72"/>
      <c r="R521" s="72">
        <v>0</v>
      </c>
      <c r="S521" s="63"/>
      <c r="T521" s="72" t="s">
        <v>73</v>
      </c>
      <c r="U521" s="109">
        <f>IF($J$1="January","",Y520)</f>
        <v>47000</v>
      </c>
      <c r="V521" s="74">
        <v>6000</v>
      </c>
      <c r="W521" s="109">
        <f>IF(U521="","",U521+V521)</f>
        <v>53000</v>
      </c>
      <c r="X521" s="74">
        <v>9000</v>
      </c>
      <c r="Y521" s="109">
        <f>IF(W521="","",W521-X521)</f>
        <v>44000</v>
      </c>
      <c r="Z521" s="76"/>
      <c r="AA521" s="28"/>
    </row>
    <row r="522" spans="1:27" s="29" customFormat="1" ht="21" customHeight="1" x14ac:dyDescent="0.2">
      <c r="A522" s="30"/>
      <c r="B522" s="44" t="s">
        <v>43</v>
      </c>
      <c r="C522" s="45"/>
      <c r="F522" s="468" t="s">
        <v>45</v>
      </c>
      <c r="G522" s="468"/>
      <c r="I522" s="468" t="s">
        <v>46</v>
      </c>
      <c r="J522" s="468"/>
      <c r="K522" s="468"/>
      <c r="L522" s="46"/>
      <c r="N522" s="71"/>
      <c r="O522" s="72" t="s">
        <v>48</v>
      </c>
      <c r="P522" s="72"/>
      <c r="Q522" s="72"/>
      <c r="R522" s="72">
        <v>0</v>
      </c>
      <c r="S522" s="63"/>
      <c r="T522" s="72" t="s">
        <v>48</v>
      </c>
      <c r="U522" s="109">
        <f t="shared" ref="U522:U527" si="107">Y521</f>
        <v>44000</v>
      </c>
      <c r="V522" s="74">
        <v>6000</v>
      </c>
      <c r="W522" s="109">
        <f t="shared" ref="W522:W527" si="108">IF(U522="","",U522+V522)</f>
        <v>50000</v>
      </c>
      <c r="X522" s="74">
        <v>9000</v>
      </c>
      <c r="Y522" s="109">
        <f t="shared" ref="Y522:Y527" si="109">IF(W522="","",W522-X522)</f>
        <v>41000</v>
      </c>
      <c r="Z522" s="76"/>
    </row>
    <row r="523" spans="1:27" s="29" customFormat="1" ht="21" customHeight="1" x14ac:dyDescent="0.2">
      <c r="A523" s="30"/>
      <c r="H523" s="47"/>
      <c r="L523" s="34"/>
      <c r="N523" s="71"/>
      <c r="O523" s="72" t="s">
        <v>49</v>
      </c>
      <c r="P523" s="72"/>
      <c r="Q523" s="72"/>
      <c r="R523" s="72">
        <v>0</v>
      </c>
      <c r="S523" s="63"/>
      <c r="T523" s="72" t="s">
        <v>49</v>
      </c>
      <c r="U523" s="109">
        <f t="shared" si="107"/>
        <v>41000</v>
      </c>
      <c r="V523" s="74">
        <v>6000</v>
      </c>
      <c r="W523" s="109">
        <f t="shared" si="108"/>
        <v>47000</v>
      </c>
      <c r="X523" s="74">
        <v>9000</v>
      </c>
      <c r="Y523" s="109">
        <f t="shared" si="109"/>
        <v>38000</v>
      </c>
      <c r="Z523" s="76"/>
    </row>
    <row r="524" spans="1:27" s="29" customFormat="1" ht="21" customHeight="1" x14ac:dyDescent="0.2">
      <c r="A524" s="30"/>
      <c r="B524" s="472" t="s">
        <v>44</v>
      </c>
      <c r="C524" s="473"/>
      <c r="F524" s="48" t="s">
        <v>66</v>
      </c>
      <c r="G524" s="4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29500</v>
      </c>
      <c r="H524" s="47"/>
      <c r="I524" s="374">
        <v>27</v>
      </c>
      <c r="J524" s="50" t="s">
        <v>63</v>
      </c>
      <c r="K524" s="51">
        <f>K520*I524</f>
        <v>32400</v>
      </c>
      <c r="L524" s="52"/>
      <c r="N524" s="71"/>
      <c r="O524" s="72" t="s">
        <v>50</v>
      </c>
      <c r="P524" s="72"/>
      <c r="Q524" s="72"/>
      <c r="R524" s="72">
        <v>0</v>
      </c>
      <c r="S524" s="63"/>
      <c r="T524" s="72" t="s">
        <v>50</v>
      </c>
      <c r="U524" s="109">
        <f t="shared" si="107"/>
        <v>38000</v>
      </c>
      <c r="V524" s="74">
        <v>6000</v>
      </c>
      <c r="W524" s="109">
        <f t="shared" si="108"/>
        <v>44000</v>
      </c>
      <c r="X524" s="74">
        <v>9000</v>
      </c>
      <c r="Y524" s="109">
        <f t="shared" si="109"/>
        <v>35000</v>
      </c>
      <c r="Z524" s="76"/>
    </row>
    <row r="525" spans="1:27" s="29" customFormat="1" ht="21" customHeight="1" x14ac:dyDescent="0.2">
      <c r="A525" s="30"/>
      <c r="B525" s="39"/>
      <c r="C525" s="39"/>
      <c r="F525" s="48" t="s">
        <v>22</v>
      </c>
      <c r="G525" s="4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47"/>
      <c r="I525" s="84">
        <v>52</v>
      </c>
      <c r="J525" s="50" t="s">
        <v>64</v>
      </c>
      <c r="K525" s="53">
        <f>K520/8*I525</f>
        <v>7800</v>
      </c>
      <c r="L525" s="54"/>
      <c r="N525" s="71"/>
      <c r="O525" s="72" t="s">
        <v>51</v>
      </c>
      <c r="P525" s="72"/>
      <c r="Q525" s="72"/>
      <c r="R525" s="72">
        <v>0</v>
      </c>
      <c r="S525" s="63"/>
      <c r="T525" s="72" t="s">
        <v>51</v>
      </c>
      <c r="U525" s="109">
        <f t="shared" si="107"/>
        <v>35000</v>
      </c>
      <c r="V525" s="74">
        <v>8500</v>
      </c>
      <c r="W525" s="109">
        <f t="shared" si="108"/>
        <v>43500</v>
      </c>
      <c r="X525" s="74">
        <v>8000</v>
      </c>
      <c r="Y525" s="109">
        <f t="shared" si="109"/>
        <v>35500</v>
      </c>
      <c r="Z525" s="76"/>
    </row>
    <row r="526" spans="1:27" s="29" customFormat="1" ht="21" customHeight="1" x14ac:dyDescent="0.2">
      <c r="A526" s="30"/>
      <c r="B526" s="48" t="s">
        <v>7</v>
      </c>
      <c r="C526" s="39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F526" s="48" t="s">
        <v>67</v>
      </c>
      <c r="G526" s="4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29500</v>
      </c>
      <c r="H526" s="47"/>
      <c r="I526" s="456" t="s">
        <v>71</v>
      </c>
      <c r="J526" s="457"/>
      <c r="K526" s="53">
        <f>K524+K525</f>
        <v>40200</v>
      </c>
      <c r="L526" s="54"/>
      <c r="N526" s="71"/>
      <c r="O526" s="72" t="s">
        <v>52</v>
      </c>
      <c r="P526" s="72"/>
      <c r="Q526" s="72"/>
      <c r="R526" s="72"/>
      <c r="S526" s="63"/>
      <c r="T526" s="72" t="s">
        <v>52</v>
      </c>
      <c r="U526" s="109">
        <f t="shared" si="107"/>
        <v>35500</v>
      </c>
      <c r="V526" s="74">
        <f>5000+3000</f>
        <v>8000</v>
      </c>
      <c r="W526" s="109">
        <f t="shared" si="108"/>
        <v>43500</v>
      </c>
      <c r="X526" s="74">
        <v>8000</v>
      </c>
      <c r="Y526" s="109">
        <f t="shared" si="109"/>
        <v>35500</v>
      </c>
      <c r="Z526" s="76"/>
    </row>
    <row r="527" spans="1:27" s="29" customFormat="1" ht="21" customHeight="1" x14ac:dyDescent="0.2">
      <c r="A527" s="30"/>
      <c r="B527" s="48" t="s">
        <v>6</v>
      </c>
      <c r="C527" s="39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F527" s="48" t="s">
        <v>23</v>
      </c>
      <c r="G527" s="4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47"/>
      <c r="I527" s="456" t="s">
        <v>72</v>
      </c>
      <c r="J527" s="457"/>
      <c r="K527" s="43">
        <f>G527</f>
        <v>5000</v>
      </c>
      <c r="L527" s="55"/>
      <c r="N527" s="71"/>
      <c r="O527" s="72" t="s">
        <v>53</v>
      </c>
      <c r="P527" s="72"/>
      <c r="Q527" s="72"/>
      <c r="R527" s="72">
        <v>0</v>
      </c>
      <c r="S527" s="63"/>
      <c r="T527" s="72" t="s">
        <v>53</v>
      </c>
      <c r="U527" s="109">
        <f t="shared" si="107"/>
        <v>35500</v>
      </c>
      <c r="V527" s="74">
        <v>2000</v>
      </c>
      <c r="W527" s="109">
        <f t="shared" si="108"/>
        <v>37500</v>
      </c>
      <c r="X527" s="74">
        <v>8000</v>
      </c>
      <c r="Y527" s="109">
        <f t="shared" si="109"/>
        <v>29500</v>
      </c>
      <c r="Z527" s="76"/>
    </row>
    <row r="528" spans="1:27" s="29" customFormat="1" ht="21" customHeight="1" x14ac:dyDescent="0.2">
      <c r="A528" s="30"/>
      <c r="B528" s="56" t="s">
        <v>70</v>
      </c>
      <c r="C528" s="39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F528" s="48" t="s">
        <v>69</v>
      </c>
      <c r="G528" s="4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24500</v>
      </c>
      <c r="I528" s="458" t="s">
        <v>65</v>
      </c>
      <c r="J528" s="459"/>
      <c r="K528" s="57">
        <f>K526-K527</f>
        <v>35200</v>
      </c>
      <c r="L528" s="58"/>
      <c r="N528" s="71"/>
      <c r="O528" s="72" t="s">
        <v>58</v>
      </c>
      <c r="P528" s="72"/>
      <c r="Q528" s="72"/>
      <c r="R528" s="72">
        <v>0</v>
      </c>
      <c r="S528" s="63"/>
      <c r="T528" s="72" t="s">
        <v>58</v>
      </c>
      <c r="U528" s="109">
        <f>Y527</f>
        <v>29500</v>
      </c>
      <c r="V528" s="74">
        <v>5000</v>
      </c>
      <c r="W528" s="109">
        <f t="shared" ref="W528:W531" si="110">IF(U528="","",U528+V528)</f>
        <v>34500</v>
      </c>
      <c r="X528" s="74">
        <v>5000</v>
      </c>
      <c r="Y528" s="109">
        <f t="shared" ref="Y528:Y531" si="111">IF(W528="","",W528-X528)</f>
        <v>29500</v>
      </c>
      <c r="Z528" s="76"/>
    </row>
    <row r="529" spans="1:27" s="29" customFormat="1" ht="21" customHeight="1" x14ac:dyDescent="0.2">
      <c r="A529" s="30"/>
      <c r="L529" s="46"/>
      <c r="N529" s="71"/>
      <c r="O529" s="72" t="s">
        <v>54</v>
      </c>
      <c r="P529" s="72"/>
      <c r="Q529" s="72"/>
      <c r="R529" s="72">
        <v>0</v>
      </c>
      <c r="S529" s="63"/>
      <c r="T529" s="72" t="s">
        <v>54</v>
      </c>
      <c r="U529" s="109">
        <f>Y528</f>
        <v>29500</v>
      </c>
      <c r="V529" s="74"/>
      <c r="W529" s="109">
        <f t="shared" si="110"/>
        <v>29500</v>
      </c>
      <c r="X529" s="74">
        <v>5000</v>
      </c>
      <c r="Y529" s="109">
        <f t="shared" si="111"/>
        <v>24500</v>
      </c>
      <c r="Z529" s="76"/>
    </row>
    <row r="530" spans="1:27" s="29" customFormat="1" ht="21" customHeight="1" x14ac:dyDescent="0.2">
      <c r="A530" s="30"/>
      <c r="B530" s="455" t="s">
        <v>94</v>
      </c>
      <c r="C530" s="455"/>
      <c r="D530" s="455"/>
      <c r="E530" s="455"/>
      <c r="F530" s="455"/>
      <c r="G530" s="455"/>
      <c r="H530" s="455"/>
      <c r="I530" s="455"/>
      <c r="J530" s="455"/>
      <c r="K530" s="455"/>
      <c r="L530" s="46"/>
      <c r="N530" s="71"/>
      <c r="O530" s="72" t="s">
        <v>59</v>
      </c>
      <c r="P530" s="72"/>
      <c r="Q530" s="72"/>
      <c r="R530" s="72">
        <v>0</v>
      </c>
      <c r="S530" s="63"/>
      <c r="T530" s="72" t="s">
        <v>59</v>
      </c>
      <c r="U530" s="109"/>
      <c r="V530" s="74"/>
      <c r="W530" s="109" t="str">
        <f t="shared" si="110"/>
        <v/>
      </c>
      <c r="X530" s="74">
        <v>5000</v>
      </c>
      <c r="Y530" s="109" t="str">
        <f t="shared" si="111"/>
        <v/>
      </c>
      <c r="Z530" s="76"/>
    </row>
    <row r="531" spans="1:27" s="29" customFormat="1" ht="21" customHeight="1" x14ac:dyDescent="0.2">
      <c r="A531" s="30"/>
      <c r="B531" s="455"/>
      <c r="C531" s="455"/>
      <c r="D531" s="455"/>
      <c r="E531" s="455"/>
      <c r="F531" s="455"/>
      <c r="G531" s="455"/>
      <c r="H531" s="455"/>
      <c r="I531" s="455"/>
      <c r="J531" s="455"/>
      <c r="K531" s="455"/>
      <c r="L531" s="46"/>
      <c r="N531" s="71"/>
      <c r="O531" s="72" t="s">
        <v>60</v>
      </c>
      <c r="P531" s="72"/>
      <c r="Q531" s="72"/>
      <c r="R531" s="72">
        <v>0</v>
      </c>
      <c r="S531" s="63"/>
      <c r="T531" s="72" t="s">
        <v>60</v>
      </c>
      <c r="U531" s="109" t="str">
        <f>Y530</f>
        <v/>
      </c>
      <c r="V531" s="74"/>
      <c r="W531" s="109" t="str">
        <f t="shared" si="110"/>
        <v/>
      </c>
      <c r="X531" s="74"/>
      <c r="Y531" s="109" t="str">
        <f t="shared" si="111"/>
        <v/>
      </c>
      <c r="Z531" s="76"/>
    </row>
    <row r="532" spans="1:27" s="29" customFormat="1" ht="21" customHeight="1" thickBot="1" x14ac:dyDescent="0.25">
      <c r="A532" s="5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1"/>
      <c r="N532" s="77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9"/>
    </row>
    <row r="533" spans="1:27" s="29" customFormat="1" ht="21" customHeight="1" thickBot="1" x14ac:dyDescent="0.25">
      <c r="A533" s="30"/>
      <c r="L533" s="46"/>
      <c r="N533" s="71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85"/>
    </row>
    <row r="534" spans="1:27" s="29" customFormat="1" ht="21.4" customHeight="1" x14ac:dyDescent="0.2">
      <c r="A534" s="500" t="s">
        <v>42</v>
      </c>
      <c r="B534" s="501"/>
      <c r="C534" s="501"/>
      <c r="D534" s="501"/>
      <c r="E534" s="501"/>
      <c r="F534" s="501"/>
      <c r="G534" s="501"/>
      <c r="H534" s="501"/>
      <c r="I534" s="501"/>
      <c r="J534" s="501"/>
      <c r="K534" s="501"/>
      <c r="L534" s="502"/>
      <c r="M534" s="28"/>
      <c r="N534" s="64"/>
      <c r="O534" s="469" t="s">
        <v>44</v>
      </c>
      <c r="P534" s="470"/>
      <c r="Q534" s="470"/>
      <c r="R534" s="471"/>
      <c r="S534" s="65"/>
      <c r="T534" s="469" t="s">
        <v>45</v>
      </c>
      <c r="U534" s="470"/>
      <c r="V534" s="470"/>
      <c r="W534" s="470"/>
      <c r="X534" s="470"/>
      <c r="Y534" s="471"/>
      <c r="Z534" s="66"/>
      <c r="AA534" s="28"/>
    </row>
    <row r="535" spans="1:27" s="29" customFormat="1" ht="21.4" customHeight="1" x14ac:dyDescent="0.2">
      <c r="A535" s="30"/>
      <c r="C535" s="466" t="s">
        <v>92</v>
      </c>
      <c r="D535" s="466"/>
      <c r="E535" s="466"/>
      <c r="F535" s="466"/>
      <c r="G535" s="31" t="str">
        <f>$J$1</f>
        <v>October</v>
      </c>
      <c r="H535" s="467">
        <f>$K$1</f>
        <v>2022</v>
      </c>
      <c r="I535" s="467"/>
      <c r="K535" s="32"/>
      <c r="L535" s="33"/>
      <c r="M535" s="32"/>
      <c r="N535" s="67"/>
      <c r="O535" s="68" t="s">
        <v>55</v>
      </c>
      <c r="P535" s="68" t="s">
        <v>7</v>
      </c>
      <c r="Q535" s="68" t="s">
        <v>6</v>
      </c>
      <c r="R535" s="68" t="s">
        <v>56</v>
      </c>
      <c r="S535" s="69"/>
      <c r="T535" s="68" t="s">
        <v>55</v>
      </c>
      <c r="U535" s="68" t="s">
        <v>57</v>
      </c>
      <c r="V535" s="68" t="s">
        <v>22</v>
      </c>
      <c r="W535" s="68" t="s">
        <v>21</v>
      </c>
      <c r="X535" s="68" t="s">
        <v>23</v>
      </c>
      <c r="Y535" s="68" t="s">
        <v>61</v>
      </c>
      <c r="Z535" s="70"/>
      <c r="AA535" s="32"/>
    </row>
    <row r="536" spans="1:27" s="29" customFormat="1" ht="21.4" customHeight="1" x14ac:dyDescent="0.2">
      <c r="A536" s="30"/>
      <c r="D536" s="35"/>
      <c r="E536" s="35"/>
      <c r="F536" s="35"/>
      <c r="G536" s="35"/>
      <c r="H536" s="35"/>
      <c r="J536" s="36" t="s">
        <v>1</v>
      </c>
      <c r="K536" s="37">
        <v>45000</v>
      </c>
      <c r="L536" s="38"/>
      <c r="N536" s="71"/>
      <c r="O536" s="72" t="s">
        <v>47</v>
      </c>
      <c r="P536" s="72"/>
      <c r="Q536" s="72"/>
      <c r="R536" s="72">
        <f>15-Q536</f>
        <v>15</v>
      </c>
      <c r="S536" s="73"/>
      <c r="T536" s="72" t="s">
        <v>47</v>
      </c>
      <c r="U536" s="74"/>
      <c r="V536" s="74"/>
      <c r="W536" s="74">
        <f>V536+U536</f>
        <v>0</v>
      </c>
      <c r="X536" s="74"/>
      <c r="Y536" s="74">
        <f>W536-X536</f>
        <v>0</v>
      </c>
      <c r="Z536" s="70"/>
    </row>
    <row r="537" spans="1:27" s="29" customFormat="1" ht="21.4" customHeight="1" x14ac:dyDescent="0.2">
      <c r="A537" s="30"/>
      <c r="B537" s="29" t="s">
        <v>0</v>
      </c>
      <c r="C537" s="40" t="s">
        <v>249</v>
      </c>
      <c r="H537" s="41"/>
      <c r="I537" s="35"/>
      <c r="L537" s="42"/>
      <c r="M537" s="28"/>
      <c r="N537" s="75"/>
      <c r="O537" s="72" t="s">
        <v>73</v>
      </c>
      <c r="P537" s="72"/>
      <c r="Q537" s="72"/>
      <c r="R537" s="72">
        <f>R536-Q537</f>
        <v>15</v>
      </c>
      <c r="S537" s="63"/>
      <c r="T537" s="72" t="s">
        <v>73</v>
      </c>
      <c r="U537" s="109"/>
      <c r="V537" s="74"/>
      <c r="W537" s="74">
        <f>V537+U537</f>
        <v>0</v>
      </c>
      <c r="X537" s="74"/>
      <c r="Y537" s="109">
        <f>IF(W537="","",W537-X537)</f>
        <v>0</v>
      </c>
      <c r="Z537" s="76"/>
      <c r="AA537" s="28"/>
    </row>
    <row r="538" spans="1:27" s="29" customFormat="1" ht="21.4" customHeight="1" x14ac:dyDescent="0.2">
      <c r="A538" s="30"/>
      <c r="B538" s="44" t="s">
        <v>43</v>
      </c>
      <c r="C538" s="45"/>
      <c r="F538" s="468" t="s">
        <v>45</v>
      </c>
      <c r="G538" s="468"/>
      <c r="I538" s="468" t="s">
        <v>46</v>
      </c>
      <c r="J538" s="468"/>
      <c r="K538" s="468"/>
      <c r="L538" s="46"/>
      <c r="N538" s="71"/>
      <c r="O538" s="72" t="s">
        <v>48</v>
      </c>
      <c r="P538" s="72"/>
      <c r="Q538" s="72"/>
      <c r="R538" s="72">
        <v>0</v>
      </c>
      <c r="S538" s="63"/>
      <c r="T538" s="72" t="s">
        <v>48</v>
      </c>
      <c r="U538" s="109"/>
      <c r="V538" s="74"/>
      <c r="W538" s="74">
        <f>V538+U538</f>
        <v>0</v>
      </c>
      <c r="X538" s="74"/>
      <c r="Y538" s="109">
        <f t="shared" ref="Y538:Y547" si="112">IF(W538="","",W538-X538)</f>
        <v>0</v>
      </c>
      <c r="Z538" s="76"/>
    </row>
    <row r="539" spans="1:27" s="29" customFormat="1" ht="21.4" customHeight="1" x14ac:dyDescent="0.2">
      <c r="A539" s="30"/>
      <c r="H539" s="47"/>
      <c r="L539" s="34"/>
      <c r="N539" s="71"/>
      <c r="O539" s="72" t="s">
        <v>49</v>
      </c>
      <c r="P539" s="72"/>
      <c r="Q539" s="72"/>
      <c r="R539" s="72">
        <v>0</v>
      </c>
      <c r="S539" s="63"/>
      <c r="T539" s="72" t="s">
        <v>49</v>
      </c>
      <c r="U539" s="109"/>
      <c r="V539" s="74"/>
      <c r="W539" s="109" t="str">
        <f t="shared" ref="W539:W547" si="113">IF(U539="","",U539+V539)</f>
        <v/>
      </c>
      <c r="X539" s="74"/>
      <c r="Y539" s="109" t="str">
        <f t="shared" si="112"/>
        <v/>
      </c>
      <c r="Z539" s="76"/>
    </row>
    <row r="540" spans="1:27" s="29" customFormat="1" ht="21.4" customHeight="1" x14ac:dyDescent="0.2">
      <c r="A540" s="30"/>
      <c r="B540" s="472" t="s">
        <v>44</v>
      </c>
      <c r="C540" s="473"/>
      <c r="F540" s="48" t="s">
        <v>66</v>
      </c>
      <c r="G540" s="43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22000</v>
      </c>
      <c r="H540" s="47"/>
      <c r="I540" s="187">
        <f>IF(C544&gt;0,$K$2,C542)</f>
        <v>30</v>
      </c>
      <c r="J540" s="50" t="s">
        <v>63</v>
      </c>
      <c r="K540" s="51">
        <f>K536/$K$2*I540</f>
        <v>43548.38709677419</v>
      </c>
      <c r="L540" s="52"/>
      <c r="N540" s="71"/>
      <c r="O540" s="72" t="s">
        <v>50</v>
      </c>
      <c r="P540" s="72"/>
      <c r="Q540" s="72"/>
      <c r="R540" s="72">
        <v>0</v>
      </c>
      <c r="S540" s="63"/>
      <c r="T540" s="72" t="s">
        <v>50</v>
      </c>
      <c r="U540" s="109"/>
      <c r="V540" s="74"/>
      <c r="W540" s="109" t="str">
        <f>IF(U540="","",U540+V540)</f>
        <v/>
      </c>
      <c r="X540" s="74"/>
      <c r="Y540" s="109" t="str">
        <f t="shared" si="112"/>
        <v/>
      </c>
      <c r="Z540" s="76"/>
    </row>
    <row r="541" spans="1:27" s="29" customFormat="1" ht="21.4" customHeight="1" x14ac:dyDescent="0.2">
      <c r="A541" s="30"/>
      <c r="B541" s="39"/>
      <c r="C541" s="39"/>
      <c r="F541" s="48" t="s">
        <v>22</v>
      </c>
      <c r="G541" s="43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2000</v>
      </c>
      <c r="H541" s="47"/>
      <c r="I541" s="84">
        <v>37</v>
      </c>
      <c r="J541" s="50" t="s">
        <v>64</v>
      </c>
      <c r="K541" s="53">
        <f>K536/$K$2/8*I541</f>
        <v>6713.7096774193542</v>
      </c>
      <c r="L541" s="54"/>
      <c r="N541" s="71"/>
      <c r="O541" s="72" t="s">
        <v>51</v>
      </c>
      <c r="P541" s="72">
        <v>26</v>
      </c>
      <c r="Q541" s="72">
        <v>4</v>
      </c>
      <c r="R541" s="72">
        <v>0</v>
      </c>
      <c r="S541" s="63"/>
      <c r="T541" s="72" t="s">
        <v>51</v>
      </c>
      <c r="U541" s="109" t="str">
        <f>Y540</f>
        <v/>
      </c>
      <c r="V541" s="74"/>
      <c r="W541" s="74">
        <f>V541</f>
        <v>0</v>
      </c>
      <c r="X541" s="74"/>
      <c r="Y541" s="109">
        <f t="shared" si="112"/>
        <v>0</v>
      </c>
      <c r="Z541" s="76"/>
    </row>
    <row r="542" spans="1:27" s="29" customFormat="1" ht="21.4" customHeight="1" x14ac:dyDescent="0.2">
      <c r="A542" s="30"/>
      <c r="B542" s="48" t="s">
        <v>7</v>
      </c>
      <c r="C542" s="39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30</v>
      </c>
      <c r="F542" s="48" t="s">
        <v>67</v>
      </c>
      <c r="G542" s="115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24000</v>
      </c>
      <c r="H542" s="47"/>
      <c r="I542" s="456" t="s">
        <v>71</v>
      </c>
      <c r="J542" s="457"/>
      <c r="K542" s="53">
        <f>K540+K541</f>
        <v>50262.096774193546</v>
      </c>
      <c r="L542" s="54"/>
      <c r="N542" s="71"/>
      <c r="O542" s="72" t="s">
        <v>52</v>
      </c>
      <c r="P542" s="72">
        <v>31</v>
      </c>
      <c r="Q542" s="72">
        <v>0</v>
      </c>
      <c r="R542" s="72">
        <v>0</v>
      </c>
      <c r="S542" s="63"/>
      <c r="T542" s="72" t="s">
        <v>52</v>
      </c>
      <c r="U542" s="109"/>
      <c r="V542" s="74"/>
      <c r="W542" s="109" t="str">
        <f t="shared" si="113"/>
        <v/>
      </c>
      <c r="X542" s="74"/>
      <c r="Y542" s="109" t="str">
        <f t="shared" si="112"/>
        <v/>
      </c>
      <c r="Z542" s="76"/>
    </row>
    <row r="543" spans="1:27" s="29" customFormat="1" ht="21.4" customHeight="1" x14ac:dyDescent="0.2">
      <c r="A543" s="30"/>
      <c r="B543" s="48" t="s">
        <v>6</v>
      </c>
      <c r="C543" s="39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1</v>
      </c>
      <c r="F543" s="48" t="s">
        <v>23</v>
      </c>
      <c r="G543" s="43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5000</v>
      </c>
      <c r="H543" s="47"/>
      <c r="I543" s="456" t="s">
        <v>72</v>
      </c>
      <c r="J543" s="457"/>
      <c r="K543" s="43">
        <f>G543</f>
        <v>5000</v>
      </c>
      <c r="L543" s="55"/>
      <c r="N543" s="71"/>
      <c r="O543" s="72" t="s">
        <v>53</v>
      </c>
      <c r="P543" s="72">
        <v>31</v>
      </c>
      <c r="Q543" s="72">
        <v>0</v>
      </c>
      <c r="R543" s="72">
        <v>0</v>
      </c>
      <c r="S543" s="63"/>
      <c r="T543" s="72" t="s">
        <v>53</v>
      </c>
      <c r="U543" s="109">
        <v>0</v>
      </c>
      <c r="V543" s="74">
        <v>30000</v>
      </c>
      <c r="W543" s="109">
        <f t="shared" si="113"/>
        <v>30000</v>
      </c>
      <c r="X543" s="74">
        <v>5000</v>
      </c>
      <c r="Y543" s="109">
        <f t="shared" si="112"/>
        <v>25000</v>
      </c>
      <c r="Z543" s="76"/>
    </row>
    <row r="544" spans="1:27" s="29" customFormat="1" ht="21.4" customHeight="1" x14ac:dyDescent="0.2">
      <c r="A544" s="30"/>
      <c r="B544" s="56" t="s">
        <v>70</v>
      </c>
      <c r="C544" s="39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F544" s="48" t="s">
        <v>69</v>
      </c>
      <c r="G544" s="43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19000</v>
      </c>
      <c r="I544" s="458" t="s">
        <v>65</v>
      </c>
      <c r="J544" s="459"/>
      <c r="K544" s="57">
        <f>K542-K543</f>
        <v>45262.096774193546</v>
      </c>
      <c r="L544" s="58"/>
      <c r="N544" s="71"/>
      <c r="O544" s="72" t="s">
        <v>58</v>
      </c>
      <c r="P544" s="72">
        <v>30</v>
      </c>
      <c r="Q544" s="72">
        <v>0</v>
      </c>
      <c r="R544" s="72">
        <v>0</v>
      </c>
      <c r="S544" s="63"/>
      <c r="T544" s="72" t="s">
        <v>58</v>
      </c>
      <c r="U544" s="109">
        <f>Y543</f>
        <v>25000</v>
      </c>
      <c r="V544" s="74">
        <v>2000</v>
      </c>
      <c r="W544" s="109">
        <f t="shared" si="113"/>
        <v>27000</v>
      </c>
      <c r="X544" s="74">
        <v>5000</v>
      </c>
      <c r="Y544" s="109">
        <f t="shared" si="112"/>
        <v>22000</v>
      </c>
      <c r="Z544" s="76"/>
    </row>
    <row r="545" spans="1:27" s="29" customFormat="1" ht="21.4" customHeight="1" x14ac:dyDescent="0.2">
      <c r="A545" s="30"/>
      <c r="L545" s="46"/>
      <c r="N545" s="71"/>
      <c r="O545" s="72" t="s">
        <v>54</v>
      </c>
      <c r="P545" s="72">
        <v>30</v>
      </c>
      <c r="Q545" s="72">
        <v>1</v>
      </c>
      <c r="R545" s="72">
        <v>0</v>
      </c>
      <c r="S545" s="63"/>
      <c r="T545" s="72" t="s">
        <v>54</v>
      </c>
      <c r="U545" s="109">
        <f>Y544</f>
        <v>22000</v>
      </c>
      <c r="V545" s="74">
        <v>2000</v>
      </c>
      <c r="W545" s="109">
        <f t="shared" si="113"/>
        <v>24000</v>
      </c>
      <c r="X545" s="74">
        <v>5000</v>
      </c>
      <c r="Y545" s="109">
        <f t="shared" si="112"/>
        <v>19000</v>
      </c>
      <c r="Z545" s="76"/>
    </row>
    <row r="546" spans="1:27" s="29" customFormat="1" ht="21.4" customHeight="1" x14ac:dyDescent="0.2">
      <c r="A546" s="30"/>
      <c r="B546" s="455" t="s">
        <v>94</v>
      </c>
      <c r="C546" s="455"/>
      <c r="D546" s="455"/>
      <c r="E546" s="455"/>
      <c r="F546" s="455"/>
      <c r="G546" s="455"/>
      <c r="H546" s="455"/>
      <c r="I546" s="455"/>
      <c r="J546" s="455"/>
      <c r="K546" s="455"/>
      <c r="L546" s="46"/>
      <c r="N546" s="71"/>
      <c r="O546" s="72" t="s">
        <v>59</v>
      </c>
      <c r="P546" s="72"/>
      <c r="Q546" s="72"/>
      <c r="R546" s="72">
        <v>0</v>
      </c>
      <c r="S546" s="63"/>
      <c r="T546" s="72" t="s">
        <v>59</v>
      </c>
      <c r="U546" s="109"/>
      <c r="V546" s="74"/>
      <c r="W546" s="109" t="str">
        <f t="shared" si="113"/>
        <v/>
      </c>
      <c r="X546" s="74"/>
      <c r="Y546" s="109" t="str">
        <f t="shared" si="112"/>
        <v/>
      </c>
      <c r="Z546" s="76"/>
    </row>
    <row r="547" spans="1:27" s="29" customFormat="1" ht="21.4" customHeight="1" x14ac:dyDescent="0.2">
      <c r="A547" s="30"/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6"/>
      <c r="N547" s="71"/>
      <c r="O547" s="72" t="s">
        <v>60</v>
      </c>
      <c r="P547" s="72"/>
      <c r="Q547" s="72"/>
      <c r="R547" s="72">
        <v>0</v>
      </c>
      <c r="S547" s="63"/>
      <c r="T547" s="72" t="s">
        <v>60</v>
      </c>
      <c r="U547" s="109" t="str">
        <f t="shared" ref="U547" si="114">Y546</f>
        <v/>
      </c>
      <c r="V547" s="74"/>
      <c r="W547" s="109" t="str">
        <f t="shared" si="113"/>
        <v/>
      </c>
      <c r="X547" s="74"/>
      <c r="Y547" s="109" t="str">
        <f t="shared" si="112"/>
        <v/>
      </c>
      <c r="Z547" s="76"/>
    </row>
    <row r="548" spans="1:27" s="29" customFormat="1" ht="21.4" customHeight="1" thickBot="1" x14ac:dyDescent="0.25">
      <c r="A548" s="5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1"/>
      <c r="N548" s="77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9"/>
    </row>
    <row r="549" spans="1:27" s="29" customFormat="1" ht="21" customHeight="1" thickBot="1" x14ac:dyDescent="0.25"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7" s="29" customFormat="1" ht="21.4" hidden="1" customHeight="1" x14ac:dyDescent="0.2"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7" s="29" customFormat="1" ht="21" hidden="1" customHeight="1" thickBot="1" x14ac:dyDescent="0.25"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7" s="29" customFormat="1" ht="21.4" hidden="1" customHeight="1" x14ac:dyDescent="0.2">
      <c r="A552" s="460" t="s">
        <v>42</v>
      </c>
      <c r="B552" s="461"/>
      <c r="C552" s="461"/>
      <c r="D552" s="461"/>
      <c r="E552" s="461"/>
      <c r="F552" s="461"/>
      <c r="G552" s="461"/>
      <c r="H552" s="461"/>
      <c r="I552" s="461"/>
      <c r="J552" s="461"/>
      <c r="K552" s="461"/>
      <c r="L552" s="462"/>
      <c r="M552" s="28"/>
      <c r="N552" s="64"/>
      <c r="O552" s="469" t="s">
        <v>44</v>
      </c>
      <c r="P552" s="470"/>
      <c r="Q552" s="470"/>
      <c r="R552" s="471"/>
      <c r="S552" s="65"/>
      <c r="T552" s="469" t="s">
        <v>45</v>
      </c>
      <c r="U552" s="470"/>
      <c r="V552" s="470"/>
      <c r="W552" s="470"/>
      <c r="X552" s="470"/>
      <c r="Y552" s="471"/>
      <c r="Z552" s="66"/>
      <c r="AA552" s="28"/>
    </row>
    <row r="553" spans="1:27" s="29" customFormat="1" ht="21.4" hidden="1" customHeight="1" x14ac:dyDescent="0.2">
      <c r="A553" s="30"/>
      <c r="C553" s="466" t="s">
        <v>92</v>
      </c>
      <c r="D553" s="466"/>
      <c r="E553" s="466"/>
      <c r="F553" s="466"/>
      <c r="G553" s="31" t="str">
        <f>$J$1</f>
        <v>October</v>
      </c>
      <c r="H553" s="467">
        <f>$K$1</f>
        <v>2022</v>
      </c>
      <c r="I553" s="467"/>
      <c r="K553" s="32"/>
      <c r="L553" s="33"/>
      <c r="M553" s="32"/>
      <c r="N553" s="67"/>
      <c r="O553" s="68" t="s">
        <v>55</v>
      </c>
      <c r="P553" s="68" t="s">
        <v>7</v>
      </c>
      <c r="Q553" s="68" t="s">
        <v>6</v>
      </c>
      <c r="R553" s="68" t="s">
        <v>56</v>
      </c>
      <c r="S553" s="69"/>
      <c r="T553" s="68" t="s">
        <v>55</v>
      </c>
      <c r="U553" s="68" t="s">
        <v>57</v>
      </c>
      <c r="V553" s="68" t="s">
        <v>22</v>
      </c>
      <c r="W553" s="68" t="s">
        <v>21</v>
      </c>
      <c r="X553" s="68" t="s">
        <v>23</v>
      </c>
      <c r="Y553" s="68" t="s">
        <v>61</v>
      </c>
      <c r="Z553" s="70"/>
      <c r="AA553" s="32"/>
    </row>
    <row r="554" spans="1:27" s="29" customFormat="1" ht="21.4" hidden="1" customHeight="1" x14ac:dyDescent="0.2">
      <c r="A554" s="30"/>
      <c r="D554" s="35"/>
      <c r="E554" s="35"/>
      <c r="F554" s="35"/>
      <c r="G554" s="35"/>
      <c r="H554" s="35"/>
      <c r="J554" s="36" t="s">
        <v>1</v>
      </c>
      <c r="K554" s="37">
        <v>24000</v>
      </c>
      <c r="L554" s="38"/>
      <c r="N554" s="71"/>
      <c r="O554" s="72" t="s">
        <v>47</v>
      </c>
      <c r="P554" s="72"/>
      <c r="Q554" s="72"/>
      <c r="R554" s="72"/>
      <c r="S554" s="73"/>
      <c r="T554" s="72" t="s">
        <v>47</v>
      </c>
      <c r="U554" s="74"/>
      <c r="V554" s="74"/>
      <c r="W554" s="74">
        <f>V554+U554</f>
        <v>0</v>
      </c>
      <c r="X554" s="74"/>
      <c r="Y554" s="74">
        <f>W554-X554</f>
        <v>0</v>
      </c>
      <c r="Z554" s="70"/>
    </row>
    <row r="555" spans="1:27" s="29" customFormat="1" ht="21.4" hidden="1" customHeight="1" x14ac:dyDescent="0.2">
      <c r="A555" s="30"/>
      <c r="B555" s="29" t="s">
        <v>0</v>
      </c>
      <c r="C555" s="40" t="s">
        <v>159</v>
      </c>
      <c r="H555" s="41"/>
      <c r="I555" s="35"/>
      <c r="L555" s="42"/>
      <c r="M555" s="28"/>
      <c r="N555" s="75"/>
      <c r="O555" s="72" t="s">
        <v>73</v>
      </c>
      <c r="P555" s="72"/>
      <c r="Q555" s="72"/>
      <c r="R555" s="72"/>
      <c r="S555" s="63"/>
      <c r="T555" s="72" t="s">
        <v>73</v>
      </c>
      <c r="U555" s="109">
        <f>IF($J$1="January","",Y554)</f>
        <v>0</v>
      </c>
      <c r="V555" s="74"/>
      <c r="W555" s="109">
        <f>IF(U555="","",U555+V555)</f>
        <v>0</v>
      </c>
      <c r="X555" s="74"/>
      <c r="Y555" s="109">
        <f>IF(W555="","",W555-X555)</f>
        <v>0</v>
      </c>
      <c r="Z555" s="76"/>
      <c r="AA555" s="28"/>
    </row>
    <row r="556" spans="1:27" s="29" customFormat="1" ht="21.4" hidden="1" customHeight="1" x14ac:dyDescent="0.2">
      <c r="A556" s="30"/>
      <c r="B556" s="44" t="s">
        <v>43</v>
      </c>
      <c r="C556" s="45"/>
      <c r="F556" s="468" t="s">
        <v>45</v>
      </c>
      <c r="G556" s="468"/>
      <c r="I556" s="468" t="s">
        <v>46</v>
      </c>
      <c r="J556" s="468"/>
      <c r="K556" s="468"/>
      <c r="L556" s="46"/>
      <c r="N556" s="71"/>
      <c r="O556" s="72" t="s">
        <v>48</v>
      </c>
      <c r="P556" s="72"/>
      <c r="Q556" s="72"/>
      <c r="R556" s="72">
        <v>0</v>
      </c>
      <c r="S556" s="63"/>
      <c r="T556" s="72" t="s">
        <v>48</v>
      </c>
      <c r="U556" s="109">
        <f>IF($J$1="February","",Y555)</f>
        <v>0</v>
      </c>
      <c r="V556" s="74"/>
      <c r="W556" s="109">
        <f t="shared" ref="W556:W565" si="115">IF(U556="","",U556+V556)</f>
        <v>0</v>
      </c>
      <c r="X556" s="74"/>
      <c r="Y556" s="109">
        <f t="shared" ref="Y556:Y565" si="116">IF(W556="","",W556-X556)</f>
        <v>0</v>
      </c>
      <c r="Z556" s="76"/>
    </row>
    <row r="557" spans="1:27" s="29" customFormat="1" ht="21.4" hidden="1" customHeight="1" x14ac:dyDescent="0.2">
      <c r="A557" s="30"/>
      <c r="H557" s="47"/>
      <c r="L557" s="34"/>
      <c r="N557" s="71"/>
      <c r="O557" s="72" t="s">
        <v>49</v>
      </c>
      <c r="P557" s="72"/>
      <c r="Q557" s="72"/>
      <c r="R557" s="72">
        <v>0</v>
      </c>
      <c r="S557" s="63"/>
      <c r="T557" s="72" t="s">
        <v>49</v>
      </c>
      <c r="U557" s="109">
        <f>IF($J$1="March","",Y556)</f>
        <v>0</v>
      </c>
      <c r="V557" s="74"/>
      <c r="W557" s="109">
        <f t="shared" si="115"/>
        <v>0</v>
      </c>
      <c r="X557" s="74"/>
      <c r="Y557" s="109">
        <f t="shared" si="116"/>
        <v>0</v>
      </c>
      <c r="Z557" s="76"/>
    </row>
    <row r="558" spans="1:27" s="29" customFormat="1" ht="21.4" hidden="1" customHeight="1" x14ac:dyDescent="0.2">
      <c r="A558" s="30"/>
      <c r="B558" s="472" t="s">
        <v>44</v>
      </c>
      <c r="C558" s="473"/>
      <c r="F558" s="48" t="s">
        <v>66</v>
      </c>
      <c r="G558" s="43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5950</v>
      </c>
      <c r="H558" s="47"/>
      <c r="I558" s="167">
        <f>IF(C562&gt;0,$K$2,C560)</f>
        <v>28</v>
      </c>
      <c r="J558" s="50" t="s">
        <v>63</v>
      </c>
      <c r="K558" s="51">
        <f>K554/$K$2*I558</f>
        <v>21677.419354838712</v>
      </c>
      <c r="L558" s="52"/>
      <c r="N558" s="71"/>
      <c r="O558" s="72" t="s">
        <v>50</v>
      </c>
      <c r="P558" s="72"/>
      <c r="Q558" s="72"/>
      <c r="R558" s="72">
        <v>0</v>
      </c>
      <c r="S558" s="63"/>
      <c r="T558" s="72" t="s">
        <v>50</v>
      </c>
      <c r="U558" s="109">
        <f>IF($J$1="April","",Y557)</f>
        <v>0</v>
      </c>
      <c r="V558" s="74"/>
      <c r="W558" s="109">
        <f t="shared" si="115"/>
        <v>0</v>
      </c>
      <c r="X558" s="74"/>
      <c r="Y558" s="109">
        <f t="shared" si="116"/>
        <v>0</v>
      </c>
      <c r="Z558" s="76"/>
    </row>
    <row r="559" spans="1:27" s="29" customFormat="1" ht="21.4" hidden="1" customHeight="1" x14ac:dyDescent="0.2">
      <c r="A559" s="30"/>
      <c r="B559" s="39"/>
      <c r="C559" s="39"/>
      <c r="F559" s="48" t="s">
        <v>22</v>
      </c>
      <c r="G559" s="43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1850</v>
      </c>
      <c r="H559" s="47"/>
      <c r="I559" s="84"/>
      <c r="J559" s="50" t="s">
        <v>64</v>
      </c>
      <c r="K559" s="53">
        <f>K554/$K$2/8*I559</f>
        <v>0</v>
      </c>
      <c r="L559" s="54"/>
      <c r="N559" s="71"/>
      <c r="O559" s="72" t="s">
        <v>51</v>
      </c>
      <c r="P559" s="72"/>
      <c r="Q559" s="72"/>
      <c r="R559" s="72">
        <v>0</v>
      </c>
      <c r="S559" s="63"/>
      <c r="T559" s="72" t="s">
        <v>51</v>
      </c>
      <c r="U559" s="109">
        <f>IF($J$1="May","",Y558)</f>
        <v>0</v>
      </c>
      <c r="V559" s="74"/>
      <c r="W559" s="109">
        <f t="shared" si="115"/>
        <v>0</v>
      </c>
      <c r="X559" s="74"/>
      <c r="Y559" s="109">
        <f t="shared" si="116"/>
        <v>0</v>
      </c>
      <c r="Z559" s="76"/>
    </row>
    <row r="560" spans="1:27" s="29" customFormat="1" ht="21.4" hidden="1" customHeight="1" x14ac:dyDescent="0.2">
      <c r="A560" s="30"/>
      <c r="B560" s="48" t="s">
        <v>7</v>
      </c>
      <c r="C560" s="39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28</v>
      </c>
      <c r="F560" s="48" t="s">
        <v>67</v>
      </c>
      <c r="G560" s="43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7800</v>
      </c>
      <c r="H560" s="47"/>
      <c r="I560" s="456" t="s">
        <v>71</v>
      </c>
      <c r="J560" s="457"/>
      <c r="K560" s="53">
        <f>K558+K559</f>
        <v>21677.419354838712</v>
      </c>
      <c r="L560" s="54"/>
      <c r="N560" s="71"/>
      <c r="O560" s="72" t="s">
        <v>52</v>
      </c>
      <c r="P560" s="72"/>
      <c r="Q560" s="72"/>
      <c r="R560" s="72">
        <v>0</v>
      </c>
      <c r="S560" s="63"/>
      <c r="T560" s="72" t="s">
        <v>52</v>
      </c>
      <c r="U560" s="109">
        <f>IF($J$1="June","",Y559)</f>
        <v>0</v>
      </c>
      <c r="V560" s="74"/>
      <c r="W560" s="109">
        <f t="shared" si="115"/>
        <v>0</v>
      </c>
      <c r="X560" s="74"/>
      <c r="Y560" s="109">
        <v>2500</v>
      </c>
      <c r="Z560" s="76"/>
    </row>
    <row r="561" spans="1:27" s="29" customFormat="1" ht="21.4" hidden="1" customHeight="1" x14ac:dyDescent="0.2">
      <c r="A561" s="30"/>
      <c r="B561" s="48" t="s">
        <v>6</v>
      </c>
      <c r="C561" s="39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3</v>
      </c>
      <c r="F561" s="48" t="s">
        <v>23</v>
      </c>
      <c r="G561" s="43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4000</v>
      </c>
      <c r="H561" s="47"/>
      <c r="I561" s="456" t="s">
        <v>72</v>
      </c>
      <c r="J561" s="457"/>
      <c r="K561" s="43">
        <f>G561</f>
        <v>4000</v>
      </c>
      <c r="L561" s="55"/>
      <c r="N561" s="71"/>
      <c r="O561" s="72" t="s">
        <v>53</v>
      </c>
      <c r="P561" s="72">
        <v>26</v>
      </c>
      <c r="Q561" s="72">
        <v>5</v>
      </c>
      <c r="R561" s="72">
        <v>3</v>
      </c>
      <c r="S561" s="63"/>
      <c r="T561" s="72" t="s">
        <v>53</v>
      </c>
      <c r="U561" s="109">
        <f>IF($J$1="July","",Y560)</f>
        <v>2500</v>
      </c>
      <c r="V561" s="74">
        <v>3200</v>
      </c>
      <c r="W561" s="109">
        <f t="shared" si="115"/>
        <v>5700</v>
      </c>
      <c r="X561" s="74">
        <v>3100</v>
      </c>
      <c r="Y561" s="109">
        <f t="shared" si="116"/>
        <v>2600</v>
      </c>
      <c r="Z561" s="76"/>
    </row>
    <row r="562" spans="1:27" s="29" customFormat="1" ht="21.4" hidden="1" customHeight="1" x14ac:dyDescent="0.2">
      <c r="A562" s="30"/>
      <c r="B562" s="56" t="s">
        <v>70</v>
      </c>
      <c r="C562" s="39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F562" s="48" t="s">
        <v>69</v>
      </c>
      <c r="G562" s="43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3800</v>
      </c>
      <c r="I562" s="458" t="s">
        <v>65</v>
      </c>
      <c r="J562" s="459"/>
      <c r="K562" s="57">
        <f>K560-K561</f>
        <v>17677.419354838712</v>
      </c>
      <c r="L562" s="58"/>
      <c r="N562" s="71"/>
      <c r="O562" s="72" t="s">
        <v>58</v>
      </c>
      <c r="P562" s="72">
        <v>27</v>
      </c>
      <c r="Q562" s="72">
        <v>3</v>
      </c>
      <c r="R562" s="72">
        <v>0</v>
      </c>
      <c r="S562" s="63"/>
      <c r="T562" s="72" t="s">
        <v>58</v>
      </c>
      <c r="U562" s="109">
        <f>IF($J$1="August","",Y561)</f>
        <v>2600</v>
      </c>
      <c r="V562" s="74">
        <f>5000+350+1500+500</f>
        <v>7350</v>
      </c>
      <c r="W562" s="109">
        <f t="shared" si="115"/>
        <v>9950</v>
      </c>
      <c r="X562" s="74">
        <v>4000</v>
      </c>
      <c r="Y562" s="109">
        <f t="shared" si="116"/>
        <v>5950</v>
      </c>
      <c r="Z562" s="76"/>
    </row>
    <row r="563" spans="1:27" s="29" customFormat="1" ht="21.4" hidden="1" customHeight="1" x14ac:dyDescent="0.2">
      <c r="A563" s="30"/>
      <c r="L563" s="46"/>
      <c r="N563" s="71"/>
      <c r="O563" s="72" t="s">
        <v>54</v>
      </c>
      <c r="P563" s="72">
        <v>28</v>
      </c>
      <c r="Q563" s="72">
        <v>3</v>
      </c>
      <c r="R563" s="72">
        <v>0</v>
      </c>
      <c r="S563" s="63"/>
      <c r="T563" s="72" t="s">
        <v>54</v>
      </c>
      <c r="U563" s="109">
        <f>IF($J$1="September","",Y562)</f>
        <v>5950</v>
      </c>
      <c r="V563" s="74">
        <f>500+600+250+500</f>
        <v>1850</v>
      </c>
      <c r="W563" s="109">
        <f t="shared" si="115"/>
        <v>7800</v>
      </c>
      <c r="X563" s="74">
        <v>4000</v>
      </c>
      <c r="Y563" s="109">
        <f t="shared" si="116"/>
        <v>3800</v>
      </c>
      <c r="Z563" s="76"/>
    </row>
    <row r="564" spans="1:27" s="29" customFormat="1" ht="21.4" hidden="1" customHeight="1" x14ac:dyDescent="0.2">
      <c r="A564" s="30"/>
      <c r="B564" s="455" t="s">
        <v>94</v>
      </c>
      <c r="C564" s="455"/>
      <c r="D564" s="455"/>
      <c r="E564" s="455"/>
      <c r="F564" s="455"/>
      <c r="G564" s="455"/>
      <c r="H564" s="455"/>
      <c r="I564" s="455"/>
      <c r="J564" s="455"/>
      <c r="K564" s="455"/>
      <c r="L564" s="46"/>
      <c r="N564" s="71"/>
      <c r="O564" s="72" t="s">
        <v>59</v>
      </c>
      <c r="P564" s="72"/>
      <c r="Q564" s="72"/>
      <c r="R564" s="72">
        <v>0</v>
      </c>
      <c r="S564" s="63"/>
      <c r="T564" s="72" t="s">
        <v>59</v>
      </c>
      <c r="U564" s="109" t="str">
        <f>IF($J$1="October","",Y563)</f>
        <v/>
      </c>
      <c r="V564" s="74"/>
      <c r="W564" s="109" t="str">
        <f t="shared" si="115"/>
        <v/>
      </c>
      <c r="X564" s="74"/>
      <c r="Y564" s="109" t="str">
        <f t="shared" si="116"/>
        <v/>
      </c>
      <c r="Z564" s="76"/>
    </row>
    <row r="565" spans="1:27" s="29" customFormat="1" ht="21.4" hidden="1" customHeight="1" x14ac:dyDescent="0.2">
      <c r="A565" s="30"/>
      <c r="B565" s="455"/>
      <c r="C565" s="455"/>
      <c r="D565" s="455"/>
      <c r="E565" s="455"/>
      <c r="F565" s="455"/>
      <c r="G565" s="455"/>
      <c r="H565" s="455"/>
      <c r="I565" s="455"/>
      <c r="J565" s="455"/>
      <c r="K565" s="455"/>
      <c r="L565" s="46"/>
      <c r="N565" s="71"/>
      <c r="O565" s="72" t="s">
        <v>60</v>
      </c>
      <c r="P565" s="72"/>
      <c r="Q565" s="72"/>
      <c r="R565" s="72">
        <v>0</v>
      </c>
      <c r="S565" s="63"/>
      <c r="T565" s="72" t="s">
        <v>60</v>
      </c>
      <c r="U565" s="109" t="str">
        <f>IF($J$1="November","",Y564)</f>
        <v/>
      </c>
      <c r="V565" s="74"/>
      <c r="W565" s="109" t="str">
        <f t="shared" si="115"/>
        <v/>
      </c>
      <c r="X565" s="74"/>
      <c r="Y565" s="109" t="str">
        <f t="shared" si="116"/>
        <v/>
      </c>
      <c r="Z565" s="76"/>
    </row>
    <row r="566" spans="1:27" s="29" customFormat="1" ht="21.4" hidden="1" customHeight="1" thickBot="1" x14ac:dyDescent="0.25">
      <c r="A566" s="5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1"/>
      <c r="N566" s="77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9"/>
    </row>
    <row r="567" spans="1:27" s="29" customFormat="1" ht="21.4" hidden="1" customHeight="1" thickBot="1" x14ac:dyDescent="0.25"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7" s="29" customFormat="1" ht="21" hidden="1" customHeight="1" x14ac:dyDescent="0.2">
      <c r="A568" s="463" t="s">
        <v>42</v>
      </c>
      <c r="B568" s="464"/>
      <c r="C568" s="464"/>
      <c r="D568" s="464"/>
      <c r="E568" s="464"/>
      <c r="F568" s="464"/>
      <c r="G568" s="464"/>
      <c r="H568" s="464"/>
      <c r="I568" s="464"/>
      <c r="J568" s="464"/>
      <c r="K568" s="464"/>
      <c r="L568" s="465"/>
      <c r="M568" s="28"/>
      <c r="N568" s="64"/>
      <c r="O568" s="469" t="s">
        <v>44</v>
      </c>
      <c r="P568" s="470"/>
      <c r="Q568" s="470"/>
      <c r="R568" s="471"/>
      <c r="S568" s="65"/>
      <c r="T568" s="469" t="s">
        <v>45</v>
      </c>
      <c r="U568" s="470"/>
      <c r="V568" s="470"/>
      <c r="W568" s="470"/>
      <c r="X568" s="470"/>
      <c r="Y568" s="471"/>
      <c r="Z568" s="66"/>
      <c r="AA568" s="28"/>
    </row>
    <row r="569" spans="1:27" s="29" customFormat="1" ht="21" hidden="1" customHeight="1" x14ac:dyDescent="0.2">
      <c r="A569" s="30"/>
      <c r="C569" s="466" t="s">
        <v>92</v>
      </c>
      <c r="D569" s="466"/>
      <c r="E569" s="466"/>
      <c r="F569" s="466"/>
      <c r="G569" s="31" t="str">
        <f>$J$1</f>
        <v>October</v>
      </c>
      <c r="H569" s="467">
        <f>$K$1</f>
        <v>2022</v>
      </c>
      <c r="I569" s="467"/>
      <c r="K569" s="32"/>
      <c r="L569" s="33"/>
      <c r="M569" s="32"/>
      <c r="N569" s="67"/>
      <c r="O569" s="68" t="s">
        <v>55</v>
      </c>
      <c r="P569" s="68" t="s">
        <v>7</v>
      </c>
      <c r="Q569" s="68" t="s">
        <v>6</v>
      </c>
      <c r="R569" s="68" t="s">
        <v>56</v>
      </c>
      <c r="S569" s="69"/>
      <c r="T569" s="68" t="s">
        <v>55</v>
      </c>
      <c r="U569" s="68" t="s">
        <v>57</v>
      </c>
      <c r="V569" s="68" t="s">
        <v>22</v>
      </c>
      <c r="W569" s="68" t="s">
        <v>21</v>
      </c>
      <c r="X569" s="68" t="s">
        <v>23</v>
      </c>
      <c r="Y569" s="68" t="s">
        <v>61</v>
      </c>
      <c r="Z569" s="70"/>
      <c r="AA569" s="32"/>
    </row>
    <row r="570" spans="1:27" s="29" customFormat="1" ht="21" hidden="1" customHeight="1" x14ac:dyDescent="0.2">
      <c r="A570" s="30"/>
      <c r="D570" s="35"/>
      <c r="E570" s="35"/>
      <c r="F570" s="35"/>
      <c r="G570" s="35"/>
      <c r="H570" s="35"/>
      <c r="J570" s="36" t="s">
        <v>1</v>
      </c>
      <c r="K570" s="37">
        <v>25000</v>
      </c>
      <c r="L570" s="38"/>
      <c r="N570" s="71"/>
      <c r="O570" s="72" t="s">
        <v>47</v>
      </c>
      <c r="P570" s="72"/>
      <c r="Q570" s="72"/>
      <c r="R570" s="72"/>
      <c r="S570" s="73"/>
      <c r="T570" s="72" t="s">
        <v>47</v>
      </c>
      <c r="U570" s="74">
        <v>35638</v>
      </c>
      <c r="V570" s="74"/>
      <c r="W570" s="74">
        <f>V570+U570</f>
        <v>35638</v>
      </c>
      <c r="X570" s="74"/>
      <c r="Y570" s="74">
        <f>W570-X570</f>
        <v>35638</v>
      </c>
      <c r="Z570" s="70"/>
    </row>
    <row r="571" spans="1:27" s="29" customFormat="1" ht="21" hidden="1" customHeight="1" x14ac:dyDescent="0.2">
      <c r="A571" s="30"/>
      <c r="B571" s="29" t="s">
        <v>0</v>
      </c>
      <c r="C571" s="40" t="s">
        <v>82</v>
      </c>
      <c r="H571" s="41"/>
      <c r="I571" s="35"/>
      <c r="L571" s="42"/>
      <c r="M571" s="28"/>
      <c r="N571" s="75"/>
      <c r="O571" s="72" t="s">
        <v>73</v>
      </c>
      <c r="P571" s="72"/>
      <c r="Q571" s="72"/>
      <c r="R571" s="72" t="str">
        <f t="shared" ref="R571:R580" si="117">IF(Q571="","",R570-Q571)</f>
        <v/>
      </c>
      <c r="S571" s="63"/>
      <c r="T571" s="72" t="s">
        <v>73</v>
      </c>
      <c r="U571" s="109"/>
      <c r="V571" s="74"/>
      <c r="W571" s="109" t="str">
        <f>IF(U571="","",U571+V571)</f>
        <v/>
      </c>
      <c r="X571" s="74"/>
      <c r="Y571" s="109" t="str">
        <f>IF(W571="","",W571-X571)</f>
        <v/>
      </c>
      <c r="Z571" s="76"/>
      <c r="AA571" s="28"/>
    </row>
    <row r="572" spans="1:27" s="29" customFormat="1" ht="21" hidden="1" customHeight="1" x14ac:dyDescent="0.2">
      <c r="A572" s="30"/>
      <c r="B572" s="44" t="s">
        <v>43</v>
      </c>
      <c r="C572" s="45"/>
      <c r="F572" s="468" t="s">
        <v>45</v>
      </c>
      <c r="G572" s="468"/>
      <c r="I572" s="468" t="s">
        <v>46</v>
      </c>
      <c r="J572" s="468"/>
      <c r="K572" s="468"/>
      <c r="L572" s="46"/>
      <c r="N572" s="71"/>
      <c r="O572" s="72" t="s">
        <v>48</v>
      </c>
      <c r="P572" s="72"/>
      <c r="Q572" s="72"/>
      <c r="R572" s="72" t="str">
        <f t="shared" si="117"/>
        <v/>
      </c>
      <c r="S572" s="63"/>
      <c r="T572" s="72" t="s">
        <v>48</v>
      </c>
      <c r="U572" s="109"/>
      <c r="V572" s="74"/>
      <c r="W572" s="109" t="str">
        <f t="shared" ref="W572:W581" si="118">IF(U572="","",U572+V572)</f>
        <v/>
      </c>
      <c r="X572" s="208"/>
      <c r="Y572" s="109" t="str">
        <f t="shared" ref="Y572:Y581" si="119">IF(W572="","",W572-X572)</f>
        <v/>
      </c>
      <c r="Z572" s="76"/>
    </row>
    <row r="573" spans="1:27" s="29" customFormat="1" ht="21" hidden="1" customHeight="1" x14ac:dyDescent="0.2">
      <c r="A573" s="30"/>
      <c r="H573" s="47"/>
      <c r="L573" s="34"/>
      <c r="N573" s="71"/>
      <c r="O573" s="72" t="s">
        <v>49</v>
      </c>
      <c r="P573" s="72"/>
      <c r="Q573" s="72"/>
      <c r="R573" s="72" t="str">
        <f t="shared" si="117"/>
        <v/>
      </c>
      <c r="S573" s="63"/>
      <c r="T573" s="72" t="s">
        <v>49</v>
      </c>
      <c r="U573" s="109"/>
      <c r="V573" s="74"/>
      <c r="W573" s="109" t="str">
        <f t="shared" si="118"/>
        <v/>
      </c>
      <c r="X573" s="208"/>
      <c r="Y573" s="109" t="str">
        <f t="shared" si="119"/>
        <v/>
      </c>
      <c r="Z573" s="76"/>
    </row>
    <row r="574" spans="1:27" s="29" customFormat="1" ht="21" hidden="1" customHeight="1" x14ac:dyDescent="0.2">
      <c r="A574" s="30"/>
      <c r="B574" s="472" t="s">
        <v>44</v>
      </c>
      <c r="C574" s="473"/>
      <c r="F574" s="48" t="s">
        <v>66</v>
      </c>
      <c r="G574" s="115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0</v>
      </c>
      <c r="H574" s="47"/>
      <c r="I574" s="168"/>
      <c r="J574" s="50" t="s">
        <v>63</v>
      </c>
      <c r="K574" s="51">
        <f>K570/$K$2*I574</f>
        <v>0</v>
      </c>
      <c r="L574" s="52"/>
      <c r="N574" s="71"/>
      <c r="O574" s="72" t="s">
        <v>50</v>
      </c>
      <c r="P574" s="72"/>
      <c r="Q574" s="72"/>
      <c r="R574" s="72" t="str">
        <f t="shared" si="117"/>
        <v/>
      </c>
      <c r="S574" s="63"/>
      <c r="T574" s="72" t="s">
        <v>50</v>
      </c>
      <c r="U574" s="109"/>
      <c r="V574" s="74"/>
      <c r="W574" s="109" t="str">
        <f t="shared" si="118"/>
        <v/>
      </c>
      <c r="X574" s="208"/>
      <c r="Y574" s="109" t="str">
        <f t="shared" si="119"/>
        <v/>
      </c>
      <c r="Z574" s="76"/>
    </row>
    <row r="575" spans="1:27" s="29" customFormat="1" ht="21" hidden="1" customHeight="1" x14ac:dyDescent="0.2">
      <c r="A575" s="30"/>
      <c r="B575" s="39"/>
      <c r="C575" s="39"/>
      <c r="F575" s="48" t="s">
        <v>22</v>
      </c>
      <c r="G575" s="115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7"/>
      <c r="I575" s="84"/>
      <c r="J575" s="50" t="s">
        <v>64</v>
      </c>
      <c r="K575" s="53">
        <f>K570/$K$2/8*I575</f>
        <v>0</v>
      </c>
      <c r="L575" s="54"/>
      <c r="N575" s="71"/>
      <c r="O575" s="72" t="s">
        <v>51</v>
      </c>
      <c r="P575" s="72"/>
      <c r="Q575" s="72"/>
      <c r="R575" s="72" t="str">
        <f t="shared" si="117"/>
        <v/>
      </c>
      <c r="S575" s="63"/>
      <c r="T575" s="72" t="s">
        <v>51</v>
      </c>
      <c r="U575" s="109"/>
      <c r="V575" s="74"/>
      <c r="W575" s="109" t="str">
        <f t="shared" si="118"/>
        <v/>
      </c>
      <c r="X575" s="208"/>
      <c r="Y575" s="109" t="str">
        <f t="shared" si="119"/>
        <v/>
      </c>
      <c r="Z575" s="76"/>
    </row>
    <row r="576" spans="1:27" s="29" customFormat="1" ht="21" hidden="1" customHeight="1" x14ac:dyDescent="0.2">
      <c r="A576" s="30"/>
      <c r="B576" s="48" t="s">
        <v>7</v>
      </c>
      <c r="C576" s="39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F576" s="48" t="s">
        <v>67</v>
      </c>
      <c r="G576" s="115" t="str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/>
      </c>
      <c r="H576" s="47"/>
      <c r="I576" s="456" t="s">
        <v>71</v>
      </c>
      <c r="J576" s="457"/>
      <c r="K576" s="53">
        <f>K574+K575</f>
        <v>0</v>
      </c>
      <c r="L576" s="54"/>
      <c r="N576" s="71"/>
      <c r="O576" s="72" t="s">
        <v>52</v>
      </c>
      <c r="P576" s="72"/>
      <c r="Q576" s="72"/>
      <c r="R576" s="72" t="str">
        <f t="shared" si="117"/>
        <v/>
      </c>
      <c r="S576" s="63"/>
      <c r="T576" s="72" t="s">
        <v>52</v>
      </c>
      <c r="U576" s="109"/>
      <c r="V576" s="74"/>
      <c r="W576" s="109" t="str">
        <f t="shared" si="118"/>
        <v/>
      </c>
      <c r="X576" s="208"/>
      <c r="Y576" s="109" t="str">
        <f t="shared" si="119"/>
        <v/>
      </c>
      <c r="Z576" s="76"/>
    </row>
    <row r="577" spans="1:27" s="29" customFormat="1" ht="21" hidden="1" customHeight="1" x14ac:dyDescent="0.2">
      <c r="A577" s="30"/>
      <c r="B577" s="48" t="s">
        <v>6</v>
      </c>
      <c r="C577" s="39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F577" s="48" t="s">
        <v>23</v>
      </c>
      <c r="G577" s="115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7"/>
      <c r="I577" s="456" t="s">
        <v>72</v>
      </c>
      <c r="J577" s="457"/>
      <c r="K577" s="43">
        <f>G577</f>
        <v>0</v>
      </c>
      <c r="L577" s="55"/>
      <c r="N577" s="71"/>
      <c r="O577" s="72" t="s">
        <v>53</v>
      </c>
      <c r="P577" s="72"/>
      <c r="Q577" s="72"/>
      <c r="R577" s="72" t="str">
        <f t="shared" si="117"/>
        <v/>
      </c>
      <c r="S577" s="63"/>
      <c r="T577" s="72" t="s">
        <v>53</v>
      </c>
      <c r="U577" s="109"/>
      <c r="V577" s="74"/>
      <c r="W577" s="109" t="str">
        <f t="shared" si="118"/>
        <v/>
      </c>
      <c r="X577" s="208"/>
      <c r="Y577" s="109" t="str">
        <f t="shared" si="119"/>
        <v/>
      </c>
      <c r="Z577" s="76"/>
    </row>
    <row r="578" spans="1:27" s="29" customFormat="1" ht="21" hidden="1" customHeight="1" x14ac:dyDescent="0.2">
      <c r="A578" s="30"/>
      <c r="B578" s="56" t="s">
        <v>70</v>
      </c>
      <c r="C578" s="39" t="str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/>
      </c>
      <c r="F578" s="48" t="s">
        <v>69</v>
      </c>
      <c r="G578" s="115" t="str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/>
      </c>
      <c r="I578" s="458" t="s">
        <v>65</v>
      </c>
      <c r="J578" s="459"/>
      <c r="K578" s="57">
        <f>K576-K577</f>
        <v>0</v>
      </c>
      <c r="L578" s="58"/>
      <c r="N578" s="71"/>
      <c r="O578" s="72" t="s">
        <v>58</v>
      </c>
      <c r="P578" s="72"/>
      <c r="Q578" s="72"/>
      <c r="R578" s="72" t="str">
        <f t="shared" si="117"/>
        <v/>
      </c>
      <c r="S578" s="63"/>
      <c r="T578" s="72" t="s">
        <v>58</v>
      </c>
      <c r="U578" s="109"/>
      <c r="V578" s="74"/>
      <c r="W578" s="109" t="str">
        <f t="shared" si="118"/>
        <v/>
      </c>
      <c r="X578" s="74"/>
      <c r="Y578" s="109" t="str">
        <f t="shared" si="119"/>
        <v/>
      </c>
      <c r="Z578" s="76"/>
    </row>
    <row r="579" spans="1:27" s="29" customFormat="1" ht="21" hidden="1" customHeight="1" x14ac:dyDescent="0.2">
      <c r="A579" s="30"/>
      <c r="L579" s="46"/>
      <c r="N579" s="71"/>
      <c r="O579" s="72" t="s">
        <v>54</v>
      </c>
      <c r="P579" s="72"/>
      <c r="Q579" s="72"/>
      <c r="R579" s="72" t="str">
        <f t="shared" si="117"/>
        <v/>
      </c>
      <c r="S579" s="63"/>
      <c r="T579" s="72" t="s">
        <v>54</v>
      </c>
      <c r="U579" s="109"/>
      <c r="V579" s="74"/>
      <c r="W579" s="109" t="str">
        <f t="shared" si="118"/>
        <v/>
      </c>
      <c r="X579" s="74"/>
      <c r="Y579" s="109" t="str">
        <f t="shared" si="119"/>
        <v/>
      </c>
      <c r="Z579" s="76"/>
    </row>
    <row r="580" spans="1:27" s="29" customFormat="1" ht="21" hidden="1" customHeight="1" x14ac:dyDescent="0.2">
      <c r="A580" s="30"/>
      <c r="B580" s="455" t="s">
        <v>94</v>
      </c>
      <c r="C580" s="455"/>
      <c r="D580" s="455"/>
      <c r="E580" s="455"/>
      <c r="F580" s="455"/>
      <c r="G580" s="455"/>
      <c r="H580" s="455"/>
      <c r="I580" s="455"/>
      <c r="J580" s="455"/>
      <c r="K580" s="455"/>
      <c r="L580" s="46"/>
      <c r="N580" s="71"/>
      <c r="O580" s="72" t="s">
        <v>59</v>
      </c>
      <c r="P580" s="72"/>
      <c r="Q580" s="72"/>
      <c r="R580" s="72" t="str">
        <f t="shared" si="117"/>
        <v/>
      </c>
      <c r="S580" s="63"/>
      <c r="T580" s="72" t="s">
        <v>59</v>
      </c>
      <c r="U580" s="109"/>
      <c r="V580" s="74"/>
      <c r="W580" s="109" t="str">
        <f t="shared" si="118"/>
        <v/>
      </c>
      <c r="X580" s="74"/>
      <c r="Y580" s="109" t="str">
        <f t="shared" si="119"/>
        <v/>
      </c>
      <c r="Z580" s="76"/>
    </row>
    <row r="581" spans="1:27" s="29" customFormat="1" ht="21" hidden="1" customHeight="1" x14ac:dyDescent="0.2">
      <c r="A581" s="30"/>
      <c r="B581" s="455"/>
      <c r="C581" s="455"/>
      <c r="D581" s="455"/>
      <c r="E581" s="455"/>
      <c r="F581" s="455"/>
      <c r="G581" s="455"/>
      <c r="H581" s="455"/>
      <c r="I581" s="455"/>
      <c r="J581" s="455"/>
      <c r="K581" s="455"/>
      <c r="L581" s="46"/>
      <c r="N581" s="71"/>
      <c r="O581" s="72" t="s">
        <v>60</v>
      </c>
      <c r="P581" s="72"/>
      <c r="Q581" s="72"/>
      <c r="R581" s="72"/>
      <c r="S581" s="63"/>
      <c r="T581" s="72" t="s">
        <v>60</v>
      </c>
      <c r="U581" s="109"/>
      <c r="V581" s="74"/>
      <c r="W581" s="109" t="str">
        <f t="shared" si="118"/>
        <v/>
      </c>
      <c r="X581" s="74"/>
      <c r="Y581" s="109" t="str">
        <f t="shared" si="119"/>
        <v/>
      </c>
      <c r="Z581" s="76"/>
    </row>
    <row r="582" spans="1:27" s="29" customFormat="1" ht="21" hidden="1" customHeight="1" thickBot="1" x14ac:dyDescent="0.25">
      <c r="A582" s="5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1"/>
      <c r="N582" s="77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9"/>
    </row>
    <row r="583" spans="1:27" s="29" customFormat="1" ht="21" hidden="1" customHeight="1" thickBot="1" x14ac:dyDescent="0.25"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7" s="29" customFormat="1" ht="21" customHeight="1" x14ac:dyDescent="0.2">
      <c r="A584" s="463" t="s">
        <v>42</v>
      </c>
      <c r="B584" s="464"/>
      <c r="C584" s="464"/>
      <c r="D584" s="464"/>
      <c r="E584" s="464"/>
      <c r="F584" s="464"/>
      <c r="G584" s="464"/>
      <c r="H584" s="464"/>
      <c r="I584" s="464"/>
      <c r="J584" s="464"/>
      <c r="K584" s="464"/>
      <c r="L584" s="465"/>
      <c r="M584" s="28"/>
      <c r="N584" s="64"/>
      <c r="O584" s="469" t="s">
        <v>44</v>
      </c>
      <c r="P584" s="470"/>
      <c r="Q584" s="470"/>
      <c r="R584" s="471"/>
      <c r="S584" s="65"/>
      <c r="T584" s="469" t="s">
        <v>45</v>
      </c>
      <c r="U584" s="470"/>
      <c r="V584" s="470"/>
      <c r="W584" s="470"/>
      <c r="X584" s="470"/>
      <c r="Y584" s="471"/>
      <c r="Z584" s="66"/>
      <c r="AA584" s="28"/>
    </row>
    <row r="585" spans="1:27" s="29" customFormat="1" ht="21" customHeight="1" x14ac:dyDescent="0.2">
      <c r="A585" s="30"/>
      <c r="C585" s="466" t="s">
        <v>92</v>
      </c>
      <c r="D585" s="466"/>
      <c r="E585" s="466"/>
      <c r="F585" s="466"/>
      <c r="G585" s="31" t="str">
        <f>$J$1</f>
        <v>October</v>
      </c>
      <c r="H585" s="467">
        <f>$K$1</f>
        <v>2022</v>
      </c>
      <c r="I585" s="467"/>
      <c r="K585" s="32"/>
      <c r="L585" s="33"/>
      <c r="M585" s="32"/>
      <c r="N585" s="67"/>
      <c r="O585" s="68" t="s">
        <v>55</v>
      </c>
      <c r="P585" s="68" t="s">
        <v>7</v>
      </c>
      <c r="Q585" s="68" t="s">
        <v>6</v>
      </c>
      <c r="R585" s="68" t="s">
        <v>56</v>
      </c>
      <c r="S585" s="69"/>
      <c r="T585" s="68" t="s">
        <v>55</v>
      </c>
      <c r="U585" s="68" t="s">
        <v>57</v>
      </c>
      <c r="V585" s="68" t="s">
        <v>22</v>
      </c>
      <c r="W585" s="68" t="s">
        <v>21</v>
      </c>
      <c r="X585" s="68" t="s">
        <v>23</v>
      </c>
      <c r="Y585" s="68" t="s">
        <v>61</v>
      </c>
      <c r="Z585" s="70"/>
      <c r="AA585" s="32"/>
    </row>
    <row r="586" spans="1:27" s="29" customFormat="1" ht="21" customHeight="1" x14ac:dyDescent="0.2">
      <c r="A586" s="30"/>
      <c r="D586" s="35"/>
      <c r="E586" s="35"/>
      <c r="F586" s="35"/>
      <c r="G586" s="35"/>
      <c r="H586" s="35"/>
      <c r="J586" s="36" t="s">
        <v>1</v>
      </c>
      <c r="K586" s="37">
        <v>19000</v>
      </c>
      <c r="L586" s="38"/>
      <c r="N586" s="71"/>
      <c r="O586" s="72" t="s">
        <v>47</v>
      </c>
      <c r="P586" s="72">
        <v>29</v>
      </c>
      <c r="Q586" s="72">
        <v>2</v>
      </c>
      <c r="R586" s="72">
        <f>10-Q586</f>
        <v>8</v>
      </c>
      <c r="S586" s="73"/>
      <c r="T586" s="72" t="s">
        <v>47</v>
      </c>
      <c r="U586" s="74"/>
      <c r="V586" s="74"/>
      <c r="W586" s="74">
        <f>V586+U586</f>
        <v>0</v>
      </c>
      <c r="X586" s="74"/>
      <c r="Y586" s="74">
        <f>W586-X586</f>
        <v>0</v>
      </c>
      <c r="Z586" s="70"/>
    </row>
    <row r="587" spans="1:27" s="29" customFormat="1" ht="21" customHeight="1" x14ac:dyDescent="0.2">
      <c r="A587" s="30"/>
      <c r="B587" s="29" t="s">
        <v>0</v>
      </c>
      <c r="C587" s="40" t="s">
        <v>199</v>
      </c>
      <c r="H587" s="41"/>
      <c r="I587" s="35"/>
      <c r="L587" s="42"/>
      <c r="M587" s="28"/>
      <c r="N587" s="75"/>
      <c r="O587" s="72" t="s">
        <v>73</v>
      </c>
      <c r="P587" s="72">
        <v>28</v>
      </c>
      <c r="Q587" s="72">
        <v>0</v>
      </c>
      <c r="R587" s="72">
        <f t="shared" ref="R587:R597" si="120">IF(Q587="","",R586-Q587)</f>
        <v>8</v>
      </c>
      <c r="S587" s="63"/>
      <c r="T587" s="72" t="s">
        <v>73</v>
      </c>
      <c r="U587" s="109">
        <f>IF($J$1="January","",Y586)</f>
        <v>0</v>
      </c>
      <c r="V587" s="74"/>
      <c r="W587" s="109">
        <f>IF(U587="","",U587+V587)</f>
        <v>0</v>
      </c>
      <c r="X587" s="74"/>
      <c r="Y587" s="109">
        <f>IF(W587="","",W587-X587)</f>
        <v>0</v>
      </c>
      <c r="Z587" s="76"/>
      <c r="AA587" s="28"/>
    </row>
    <row r="588" spans="1:27" s="29" customFormat="1" ht="21" customHeight="1" x14ac:dyDescent="0.2">
      <c r="A588" s="30"/>
      <c r="B588" s="44" t="s">
        <v>43</v>
      </c>
      <c r="C588" s="45"/>
      <c r="F588" s="468" t="s">
        <v>45</v>
      </c>
      <c r="G588" s="468"/>
      <c r="I588" s="468" t="s">
        <v>46</v>
      </c>
      <c r="J588" s="468"/>
      <c r="K588" s="468"/>
      <c r="L588" s="46"/>
      <c r="N588" s="71"/>
      <c r="O588" s="72" t="s">
        <v>48</v>
      </c>
      <c r="P588" s="72">
        <v>29</v>
      </c>
      <c r="Q588" s="72">
        <v>2</v>
      </c>
      <c r="R588" s="72">
        <f t="shared" si="120"/>
        <v>6</v>
      </c>
      <c r="S588" s="63"/>
      <c r="T588" s="72" t="s">
        <v>48</v>
      </c>
      <c r="U588" s="109">
        <f>IF($J$1="February","",Y587)</f>
        <v>0</v>
      </c>
      <c r="V588" s="74"/>
      <c r="W588" s="109">
        <f t="shared" ref="W588:W597" si="121">IF(U588="","",U588+V588)</f>
        <v>0</v>
      </c>
      <c r="X588" s="74"/>
      <c r="Y588" s="109">
        <f t="shared" ref="Y588:Y597" si="122">IF(W588="","",W588-X588)</f>
        <v>0</v>
      </c>
      <c r="Z588" s="76"/>
    </row>
    <row r="589" spans="1:27" s="29" customFormat="1" ht="21" customHeight="1" x14ac:dyDescent="0.2">
      <c r="A589" s="30"/>
      <c r="H589" s="47"/>
      <c r="L589" s="34"/>
      <c r="N589" s="71"/>
      <c r="O589" s="72" t="s">
        <v>49</v>
      </c>
      <c r="P589" s="72">
        <v>30</v>
      </c>
      <c r="Q589" s="72">
        <v>0</v>
      </c>
      <c r="R589" s="72">
        <f t="shared" si="120"/>
        <v>6</v>
      </c>
      <c r="S589" s="63"/>
      <c r="T589" s="72" t="s">
        <v>49</v>
      </c>
      <c r="U589" s="109">
        <f>IF($J$1="March","",Y588)</f>
        <v>0</v>
      </c>
      <c r="V589" s="74"/>
      <c r="W589" s="109">
        <f t="shared" si="121"/>
        <v>0</v>
      </c>
      <c r="X589" s="74"/>
      <c r="Y589" s="109">
        <f t="shared" si="122"/>
        <v>0</v>
      </c>
      <c r="Z589" s="76"/>
    </row>
    <row r="590" spans="1:27" s="29" customFormat="1" ht="21" customHeight="1" x14ac:dyDescent="0.2">
      <c r="A590" s="30"/>
      <c r="B590" s="472" t="s">
        <v>44</v>
      </c>
      <c r="C590" s="473"/>
      <c r="F590" s="48" t="s">
        <v>66</v>
      </c>
      <c r="G590" s="43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>0</v>
      </c>
      <c r="H590" s="47"/>
      <c r="I590" s="49">
        <f>IF(C594&gt;0,$K$2,C592)</f>
        <v>31</v>
      </c>
      <c r="J590" s="50" t="s">
        <v>63</v>
      </c>
      <c r="K590" s="51">
        <f>K586/$K$2*I590</f>
        <v>19000</v>
      </c>
      <c r="L590" s="52"/>
      <c r="N590" s="71"/>
      <c r="O590" s="72" t="s">
        <v>50</v>
      </c>
      <c r="P590" s="72">
        <v>28</v>
      </c>
      <c r="Q590" s="72">
        <v>3</v>
      </c>
      <c r="R590" s="72">
        <f t="shared" si="120"/>
        <v>3</v>
      </c>
      <c r="S590" s="63"/>
      <c r="T590" s="72" t="s">
        <v>50</v>
      </c>
      <c r="U590" s="109">
        <f>IF($J$1="April","",Y589)</f>
        <v>0</v>
      </c>
      <c r="V590" s="74"/>
      <c r="W590" s="109">
        <f t="shared" si="121"/>
        <v>0</v>
      </c>
      <c r="X590" s="74"/>
      <c r="Y590" s="109">
        <f t="shared" si="122"/>
        <v>0</v>
      </c>
      <c r="Z590" s="76"/>
    </row>
    <row r="591" spans="1:27" s="29" customFormat="1" ht="21" customHeight="1" x14ac:dyDescent="0.2">
      <c r="A591" s="30"/>
      <c r="B591" s="39"/>
      <c r="C591" s="39"/>
      <c r="F591" s="48" t="s">
        <v>22</v>
      </c>
      <c r="G591" s="43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7"/>
      <c r="I591" s="84">
        <v>15</v>
      </c>
      <c r="J591" s="50" t="s">
        <v>64</v>
      </c>
      <c r="K591" s="53">
        <f>K586/$K$2/8*I591</f>
        <v>1149.1935483870968</v>
      </c>
      <c r="L591" s="54"/>
      <c r="N591" s="71"/>
      <c r="O591" s="72" t="s">
        <v>51</v>
      </c>
      <c r="P591" s="72">
        <v>28</v>
      </c>
      <c r="Q591" s="72">
        <v>2</v>
      </c>
      <c r="R591" s="72">
        <f t="shared" si="120"/>
        <v>1</v>
      </c>
      <c r="S591" s="63"/>
      <c r="T591" s="72" t="s">
        <v>51</v>
      </c>
      <c r="U591" s="109">
        <f>Y590</f>
        <v>0</v>
      </c>
      <c r="V591" s="74"/>
      <c r="W591" s="109">
        <f t="shared" si="121"/>
        <v>0</v>
      </c>
      <c r="X591" s="74"/>
      <c r="Y591" s="109">
        <f t="shared" si="122"/>
        <v>0</v>
      </c>
      <c r="Z591" s="76"/>
    </row>
    <row r="592" spans="1:27" s="29" customFormat="1" ht="21" customHeight="1" x14ac:dyDescent="0.2">
      <c r="A592" s="30"/>
      <c r="B592" s="48" t="s">
        <v>7</v>
      </c>
      <c r="C592" s="39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31</v>
      </c>
      <c r="F592" s="48" t="s">
        <v>67</v>
      </c>
      <c r="G592" s="43" t="str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/>
      </c>
      <c r="H592" s="47"/>
      <c r="I592" s="456" t="s">
        <v>71</v>
      </c>
      <c r="J592" s="457"/>
      <c r="K592" s="53">
        <f>K590+K591</f>
        <v>20149.193548387098</v>
      </c>
      <c r="L592" s="54"/>
      <c r="N592" s="71"/>
      <c r="O592" s="72" t="s">
        <v>52</v>
      </c>
      <c r="P592" s="72">
        <v>29</v>
      </c>
      <c r="Q592" s="72">
        <v>2</v>
      </c>
      <c r="R592" s="72">
        <v>0</v>
      </c>
      <c r="S592" s="63"/>
      <c r="T592" s="72" t="s">
        <v>52</v>
      </c>
      <c r="U592" s="109">
        <f t="shared" ref="U592:U594" si="123">Y591</f>
        <v>0</v>
      </c>
      <c r="V592" s="74"/>
      <c r="W592" s="109">
        <f t="shared" ref="W592:W594" si="124">IF(U592="","",U592+V592)</f>
        <v>0</v>
      </c>
      <c r="X592" s="74"/>
      <c r="Y592" s="109">
        <f t="shared" ref="Y592:Y594" si="125">IF(W592="","",W592-X592)</f>
        <v>0</v>
      </c>
      <c r="Z592" s="76"/>
    </row>
    <row r="593" spans="1:26" s="29" customFormat="1" ht="21" customHeight="1" x14ac:dyDescent="0.2">
      <c r="A593" s="30"/>
      <c r="B593" s="48" t="s">
        <v>6</v>
      </c>
      <c r="C593" s="39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0</v>
      </c>
      <c r="F593" s="48" t="s">
        <v>23</v>
      </c>
      <c r="G593" s="43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7"/>
      <c r="I593" s="456" t="s">
        <v>72</v>
      </c>
      <c r="J593" s="457"/>
      <c r="K593" s="43">
        <f>G593</f>
        <v>0</v>
      </c>
      <c r="L593" s="55"/>
      <c r="N593" s="71"/>
      <c r="O593" s="72" t="s">
        <v>53</v>
      </c>
      <c r="P593" s="72">
        <v>30</v>
      </c>
      <c r="Q593" s="72">
        <v>1</v>
      </c>
      <c r="R593" s="72">
        <v>0</v>
      </c>
      <c r="S593" s="63"/>
      <c r="T593" s="72" t="s">
        <v>53</v>
      </c>
      <c r="U593" s="109">
        <f t="shared" si="123"/>
        <v>0</v>
      </c>
      <c r="V593" s="74"/>
      <c r="W593" s="109">
        <f t="shared" si="124"/>
        <v>0</v>
      </c>
      <c r="X593" s="74"/>
      <c r="Y593" s="109">
        <f t="shared" si="125"/>
        <v>0</v>
      </c>
      <c r="Z593" s="76"/>
    </row>
    <row r="594" spans="1:26" s="29" customFormat="1" ht="21" customHeight="1" x14ac:dyDescent="0.2">
      <c r="A594" s="30"/>
      <c r="B594" s="56" t="s">
        <v>70</v>
      </c>
      <c r="C594" s="39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0</v>
      </c>
      <c r="F594" s="48" t="s">
        <v>69</v>
      </c>
      <c r="G594" s="43" t="str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/>
      </c>
      <c r="I594" s="458" t="s">
        <v>65</v>
      </c>
      <c r="J594" s="459"/>
      <c r="K594" s="57">
        <f>K592-K593</f>
        <v>20149.193548387098</v>
      </c>
      <c r="L594" s="58"/>
      <c r="N594" s="71"/>
      <c r="O594" s="72" t="s">
        <v>58</v>
      </c>
      <c r="P594" s="72">
        <v>30</v>
      </c>
      <c r="Q594" s="72">
        <v>0</v>
      </c>
      <c r="R594" s="72">
        <f t="shared" si="120"/>
        <v>0</v>
      </c>
      <c r="S594" s="63"/>
      <c r="T594" s="72" t="s">
        <v>58</v>
      </c>
      <c r="U594" s="109">
        <f t="shared" si="123"/>
        <v>0</v>
      </c>
      <c r="V594" s="74"/>
      <c r="W594" s="109">
        <f t="shared" si="124"/>
        <v>0</v>
      </c>
      <c r="X594" s="74"/>
      <c r="Y594" s="109">
        <f t="shared" si="125"/>
        <v>0</v>
      </c>
      <c r="Z594" s="76"/>
    </row>
    <row r="595" spans="1:26" s="29" customFormat="1" ht="21" customHeight="1" x14ac:dyDescent="0.2">
      <c r="A595" s="30"/>
      <c r="K595" s="113"/>
      <c r="L595" s="46"/>
      <c r="N595" s="71"/>
      <c r="O595" s="72" t="s">
        <v>54</v>
      </c>
      <c r="P595" s="72">
        <v>31</v>
      </c>
      <c r="Q595" s="72">
        <v>0</v>
      </c>
      <c r="R595" s="72">
        <f t="shared" si="120"/>
        <v>0</v>
      </c>
      <c r="S595" s="63"/>
      <c r="T595" s="72" t="s">
        <v>54</v>
      </c>
      <c r="U595" s="109"/>
      <c r="V595" s="74"/>
      <c r="W595" s="109" t="str">
        <f t="shared" si="121"/>
        <v/>
      </c>
      <c r="X595" s="74"/>
      <c r="Y595" s="109" t="str">
        <f t="shared" si="122"/>
        <v/>
      </c>
      <c r="Z595" s="76"/>
    </row>
    <row r="596" spans="1:26" s="29" customFormat="1" ht="21" customHeight="1" x14ac:dyDescent="0.2">
      <c r="A596" s="30"/>
      <c r="B596" s="455" t="s">
        <v>94</v>
      </c>
      <c r="C596" s="455"/>
      <c r="D596" s="455"/>
      <c r="E596" s="455"/>
      <c r="F596" s="455"/>
      <c r="G596" s="455"/>
      <c r="H596" s="455"/>
      <c r="I596" s="455"/>
      <c r="J596" s="455"/>
      <c r="K596" s="455"/>
      <c r="L596" s="46"/>
      <c r="N596" s="71"/>
      <c r="O596" s="72" t="s">
        <v>59</v>
      </c>
      <c r="P596" s="72"/>
      <c r="Q596" s="72"/>
      <c r="R596" s="72" t="str">
        <f t="shared" si="120"/>
        <v/>
      </c>
      <c r="S596" s="63"/>
      <c r="T596" s="72" t="s">
        <v>59</v>
      </c>
      <c r="U596" s="109" t="str">
        <f>IF($J$1="October","",Y595)</f>
        <v/>
      </c>
      <c r="V596" s="74"/>
      <c r="W596" s="109" t="str">
        <f t="shared" si="121"/>
        <v/>
      </c>
      <c r="X596" s="74"/>
      <c r="Y596" s="109" t="str">
        <f t="shared" si="122"/>
        <v/>
      </c>
      <c r="Z596" s="76"/>
    </row>
    <row r="597" spans="1:26" s="29" customFormat="1" ht="21" customHeight="1" x14ac:dyDescent="0.2">
      <c r="A597" s="30"/>
      <c r="B597" s="455"/>
      <c r="C597" s="455"/>
      <c r="D597" s="455"/>
      <c r="E597" s="455"/>
      <c r="F597" s="455"/>
      <c r="G597" s="455"/>
      <c r="H597" s="455"/>
      <c r="I597" s="455"/>
      <c r="J597" s="455"/>
      <c r="K597" s="455"/>
      <c r="L597" s="46"/>
      <c r="N597" s="71"/>
      <c r="O597" s="72" t="s">
        <v>60</v>
      </c>
      <c r="P597" s="72"/>
      <c r="Q597" s="72"/>
      <c r="R597" s="72" t="str">
        <f t="shared" si="120"/>
        <v/>
      </c>
      <c r="S597" s="63"/>
      <c r="T597" s="72" t="s">
        <v>60</v>
      </c>
      <c r="U597" s="109" t="str">
        <f>IF($J$1="November","",Y596)</f>
        <v/>
      </c>
      <c r="V597" s="74"/>
      <c r="W597" s="109" t="str">
        <f t="shared" si="121"/>
        <v/>
      </c>
      <c r="X597" s="74"/>
      <c r="Y597" s="109" t="str">
        <f t="shared" si="122"/>
        <v/>
      </c>
      <c r="Z597" s="76"/>
    </row>
    <row r="598" spans="1:26" s="29" customFormat="1" ht="21" customHeight="1" thickBot="1" x14ac:dyDescent="0.25">
      <c r="A598" s="5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1"/>
      <c r="N598" s="77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9"/>
    </row>
    <row r="599" spans="1:26" s="29" customFormat="1" ht="21" customHeight="1" thickBot="1" x14ac:dyDescent="0.25"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s="29" customFormat="1" ht="21" customHeight="1" x14ac:dyDescent="0.2">
      <c r="A600" s="474" t="s">
        <v>42</v>
      </c>
      <c r="B600" s="475"/>
      <c r="C600" s="475"/>
      <c r="D600" s="475"/>
      <c r="E600" s="475"/>
      <c r="F600" s="475"/>
      <c r="G600" s="475"/>
      <c r="H600" s="475"/>
      <c r="I600" s="475"/>
      <c r="J600" s="475"/>
      <c r="K600" s="475"/>
      <c r="L600" s="476"/>
      <c r="M600" s="28"/>
      <c r="N600" s="64"/>
      <c r="O600" s="469" t="s">
        <v>44</v>
      </c>
      <c r="P600" s="470"/>
      <c r="Q600" s="470"/>
      <c r="R600" s="471"/>
      <c r="S600" s="65"/>
      <c r="T600" s="469" t="s">
        <v>45</v>
      </c>
      <c r="U600" s="470"/>
      <c r="V600" s="470"/>
      <c r="W600" s="470"/>
      <c r="X600" s="470"/>
      <c r="Y600" s="471"/>
      <c r="Z600" s="66"/>
    </row>
    <row r="601" spans="1:26" s="29" customFormat="1" ht="21" customHeight="1" x14ac:dyDescent="0.2">
      <c r="A601" s="30"/>
      <c r="C601" s="466" t="s">
        <v>92</v>
      </c>
      <c r="D601" s="466"/>
      <c r="E601" s="466"/>
      <c r="F601" s="466"/>
      <c r="G601" s="31" t="str">
        <f>$J$1</f>
        <v>October</v>
      </c>
      <c r="H601" s="467">
        <f>$K$1</f>
        <v>2022</v>
      </c>
      <c r="I601" s="467"/>
      <c r="K601" s="32"/>
      <c r="L601" s="33"/>
      <c r="M601" s="32"/>
      <c r="N601" s="67"/>
      <c r="O601" s="68" t="s">
        <v>55</v>
      </c>
      <c r="P601" s="68" t="s">
        <v>7</v>
      </c>
      <c r="Q601" s="68" t="s">
        <v>6</v>
      </c>
      <c r="R601" s="68" t="s">
        <v>56</v>
      </c>
      <c r="S601" s="69"/>
      <c r="T601" s="68" t="s">
        <v>55</v>
      </c>
      <c r="U601" s="68" t="s">
        <v>57</v>
      </c>
      <c r="V601" s="68" t="s">
        <v>22</v>
      </c>
      <c r="W601" s="68" t="s">
        <v>21</v>
      </c>
      <c r="X601" s="68" t="s">
        <v>23</v>
      </c>
      <c r="Y601" s="68" t="s">
        <v>61</v>
      </c>
      <c r="Z601" s="70"/>
    </row>
    <row r="602" spans="1:26" s="29" customFormat="1" ht="21" customHeight="1" x14ac:dyDescent="0.2">
      <c r="A602" s="30"/>
      <c r="D602" s="35"/>
      <c r="E602" s="35"/>
      <c r="F602" s="35"/>
      <c r="G602" s="35"/>
      <c r="H602" s="35"/>
      <c r="J602" s="36" t="s">
        <v>1</v>
      </c>
      <c r="K602" s="37">
        <v>27000</v>
      </c>
      <c r="L602" s="38"/>
      <c r="N602" s="71"/>
      <c r="O602" s="72" t="s">
        <v>47</v>
      </c>
      <c r="P602" s="72">
        <v>31</v>
      </c>
      <c r="Q602" s="72">
        <v>0</v>
      </c>
      <c r="R602" s="72">
        <v>0</v>
      </c>
      <c r="S602" s="73"/>
      <c r="T602" s="72" t="s">
        <v>47</v>
      </c>
      <c r="U602" s="74"/>
      <c r="V602" s="74"/>
      <c r="W602" s="74">
        <f>V602+U602</f>
        <v>0</v>
      </c>
      <c r="X602" s="74"/>
      <c r="Y602" s="74">
        <f>W602-X602</f>
        <v>0</v>
      </c>
      <c r="Z602" s="70"/>
    </row>
    <row r="603" spans="1:26" s="29" customFormat="1" ht="21" customHeight="1" x14ac:dyDescent="0.2">
      <c r="A603" s="30"/>
      <c r="B603" s="29" t="s">
        <v>0</v>
      </c>
      <c r="C603" s="40" t="s">
        <v>232</v>
      </c>
      <c r="H603" s="41"/>
      <c r="I603" s="35"/>
      <c r="L603" s="42"/>
      <c r="M603" s="28"/>
      <c r="N603" s="75"/>
      <c r="O603" s="72" t="s">
        <v>73</v>
      </c>
      <c r="P603" s="72">
        <v>28</v>
      </c>
      <c r="Q603" s="72">
        <v>0</v>
      </c>
      <c r="R603" s="72">
        <f t="shared" ref="R603:R606" si="126">IF(Q603="","",R602-Q603)</f>
        <v>0</v>
      </c>
      <c r="S603" s="63"/>
      <c r="T603" s="72" t="s">
        <v>73</v>
      </c>
      <c r="U603" s="109">
        <f>Y602</f>
        <v>0</v>
      </c>
      <c r="V603" s="74">
        <v>1000</v>
      </c>
      <c r="W603" s="109">
        <f>IF(U603="","",U603+V603)</f>
        <v>1000</v>
      </c>
      <c r="X603" s="74">
        <v>1000</v>
      </c>
      <c r="Y603" s="109">
        <f>IF(W603="","",W603-X603)</f>
        <v>0</v>
      </c>
      <c r="Z603" s="76"/>
    </row>
    <row r="604" spans="1:26" s="29" customFormat="1" ht="21" customHeight="1" x14ac:dyDescent="0.2">
      <c r="A604" s="30"/>
      <c r="B604" s="44" t="s">
        <v>43</v>
      </c>
      <c r="C604" s="40"/>
      <c r="F604" s="468" t="s">
        <v>45</v>
      </c>
      <c r="G604" s="468"/>
      <c r="I604" s="468" t="s">
        <v>46</v>
      </c>
      <c r="J604" s="468"/>
      <c r="K604" s="468"/>
      <c r="L604" s="46"/>
      <c r="N604" s="71"/>
      <c r="O604" s="72" t="s">
        <v>48</v>
      </c>
      <c r="P604" s="72">
        <v>31</v>
      </c>
      <c r="Q604" s="72">
        <v>0</v>
      </c>
      <c r="R604" s="72">
        <f t="shared" si="126"/>
        <v>0</v>
      </c>
      <c r="S604" s="63"/>
      <c r="T604" s="72" t="s">
        <v>48</v>
      </c>
      <c r="U604" s="109"/>
      <c r="V604" s="74"/>
      <c r="W604" s="109" t="str">
        <f t="shared" ref="W604:W613" si="127">IF(U604="","",U604+V604)</f>
        <v/>
      </c>
      <c r="X604" s="74"/>
      <c r="Y604" s="109" t="str">
        <f t="shared" ref="Y604:Y613" si="128">IF(W604="","",W604-X604)</f>
        <v/>
      </c>
      <c r="Z604" s="76"/>
    </row>
    <row r="605" spans="1:26" s="29" customFormat="1" ht="21" customHeight="1" x14ac:dyDescent="0.2">
      <c r="A605" s="30"/>
      <c r="H605" s="47"/>
      <c r="L605" s="34"/>
      <c r="N605" s="71"/>
      <c r="O605" s="72" t="s">
        <v>49</v>
      </c>
      <c r="P605" s="72">
        <v>30</v>
      </c>
      <c r="Q605" s="72">
        <v>0</v>
      </c>
      <c r="R605" s="72">
        <f t="shared" si="126"/>
        <v>0</v>
      </c>
      <c r="S605" s="63"/>
      <c r="T605" s="72" t="s">
        <v>49</v>
      </c>
      <c r="U605" s="109" t="str">
        <f>IF($J$1="March","",Y604)</f>
        <v/>
      </c>
      <c r="V605" s="74"/>
      <c r="W605" s="109" t="str">
        <f t="shared" si="127"/>
        <v/>
      </c>
      <c r="X605" s="74"/>
      <c r="Y605" s="109" t="str">
        <f t="shared" si="128"/>
        <v/>
      </c>
      <c r="Z605" s="76"/>
    </row>
    <row r="606" spans="1:26" s="29" customFormat="1" ht="21" customHeight="1" x14ac:dyDescent="0.2">
      <c r="A606" s="30"/>
      <c r="B606" s="472" t="s">
        <v>44</v>
      </c>
      <c r="C606" s="473"/>
      <c r="F606" s="48" t="s">
        <v>66</v>
      </c>
      <c r="G606" s="43" t="str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/>
      </c>
      <c r="H606" s="47"/>
      <c r="I606" s="49">
        <f>IF(C610&gt;0,$K$2,C608)</f>
        <v>31</v>
      </c>
      <c r="J606" s="50" t="s">
        <v>63</v>
      </c>
      <c r="K606" s="51">
        <f>K602/$K$2*I606</f>
        <v>27000</v>
      </c>
      <c r="L606" s="52"/>
      <c r="N606" s="71"/>
      <c r="O606" s="72" t="s">
        <v>50</v>
      </c>
      <c r="P606" s="72">
        <v>31</v>
      </c>
      <c r="Q606" s="72">
        <v>0</v>
      </c>
      <c r="R606" s="72">
        <f t="shared" si="126"/>
        <v>0</v>
      </c>
      <c r="S606" s="63"/>
      <c r="T606" s="72" t="s">
        <v>50</v>
      </c>
      <c r="U606" s="109" t="str">
        <f>IF($J$1="April","",Y605)</f>
        <v/>
      </c>
      <c r="V606" s="74"/>
      <c r="W606" s="109" t="str">
        <f t="shared" si="127"/>
        <v/>
      </c>
      <c r="X606" s="74"/>
      <c r="Y606" s="109" t="str">
        <f t="shared" si="128"/>
        <v/>
      </c>
      <c r="Z606" s="76"/>
    </row>
    <row r="607" spans="1:26" s="29" customFormat="1" ht="21" customHeight="1" x14ac:dyDescent="0.2">
      <c r="A607" s="30"/>
      <c r="B607" s="39"/>
      <c r="C607" s="39"/>
      <c r="F607" s="48" t="s">
        <v>22</v>
      </c>
      <c r="G607" s="43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7"/>
      <c r="I607" s="49">
        <v>39</v>
      </c>
      <c r="J607" s="50" t="s">
        <v>64</v>
      </c>
      <c r="K607" s="53">
        <f>K602/$K$2/8*I607</f>
        <v>4245.9677419354839</v>
      </c>
      <c r="L607" s="54"/>
      <c r="N607" s="71"/>
      <c r="O607" s="72" t="s">
        <v>51</v>
      </c>
      <c r="P607" s="72">
        <v>30</v>
      </c>
      <c r="Q607" s="72">
        <v>0</v>
      </c>
      <c r="R607" s="72"/>
      <c r="S607" s="63"/>
      <c r="T607" s="72" t="s">
        <v>51</v>
      </c>
      <c r="U607" s="109" t="str">
        <f>IF($J$1="May","",Y606)</f>
        <v/>
      </c>
      <c r="V607" s="74"/>
      <c r="W607" s="109" t="str">
        <f t="shared" si="127"/>
        <v/>
      </c>
      <c r="X607" s="74"/>
      <c r="Y607" s="109" t="str">
        <f t="shared" si="128"/>
        <v/>
      </c>
      <c r="Z607" s="76"/>
    </row>
    <row r="608" spans="1:26" s="29" customFormat="1" ht="21" customHeight="1" x14ac:dyDescent="0.2">
      <c r="A608" s="30"/>
      <c r="B608" s="48" t="s">
        <v>7</v>
      </c>
      <c r="C608" s="39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31</v>
      </c>
      <c r="F608" s="48" t="s">
        <v>67</v>
      </c>
      <c r="G608" s="43" t="str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/>
      </c>
      <c r="H608" s="47"/>
      <c r="I608" s="456" t="s">
        <v>71</v>
      </c>
      <c r="J608" s="457"/>
      <c r="K608" s="53">
        <f>K606+K607</f>
        <v>31245.967741935485</v>
      </c>
      <c r="L608" s="54"/>
      <c r="N608" s="71"/>
      <c r="O608" s="72" t="s">
        <v>52</v>
      </c>
      <c r="P608" s="72">
        <v>31</v>
      </c>
      <c r="Q608" s="72">
        <v>0</v>
      </c>
      <c r="R608" s="72"/>
      <c r="S608" s="63"/>
      <c r="T608" s="72" t="s">
        <v>52</v>
      </c>
      <c r="U608" s="109" t="str">
        <f>IF($J$1="June","",Y607)</f>
        <v/>
      </c>
      <c r="V608" s="74"/>
      <c r="W608" s="109" t="str">
        <f t="shared" si="127"/>
        <v/>
      </c>
      <c r="X608" s="74"/>
      <c r="Y608" s="109" t="str">
        <f t="shared" si="128"/>
        <v/>
      </c>
      <c r="Z608" s="76"/>
    </row>
    <row r="609" spans="1:26" s="29" customFormat="1" ht="21" customHeight="1" x14ac:dyDescent="0.2">
      <c r="A609" s="30"/>
      <c r="B609" s="48" t="s">
        <v>6</v>
      </c>
      <c r="C609" s="39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0</v>
      </c>
      <c r="F609" s="48" t="s">
        <v>23</v>
      </c>
      <c r="G609" s="43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7"/>
      <c r="I609" s="456" t="s">
        <v>72</v>
      </c>
      <c r="J609" s="457"/>
      <c r="K609" s="43">
        <f>G609</f>
        <v>0</v>
      </c>
      <c r="L609" s="55"/>
      <c r="N609" s="71"/>
      <c r="O609" s="72" t="s">
        <v>53</v>
      </c>
      <c r="P609" s="72">
        <v>31</v>
      </c>
      <c r="Q609" s="72">
        <v>0</v>
      </c>
      <c r="R609" s="72"/>
      <c r="S609" s="63"/>
      <c r="T609" s="72" t="s">
        <v>53</v>
      </c>
      <c r="U609" s="109" t="str">
        <f>IF($J$1="July","",Y608)</f>
        <v/>
      </c>
      <c r="V609" s="74"/>
      <c r="W609" s="109" t="str">
        <f t="shared" si="127"/>
        <v/>
      </c>
      <c r="X609" s="74"/>
      <c r="Y609" s="109" t="str">
        <f t="shared" si="128"/>
        <v/>
      </c>
      <c r="Z609" s="76"/>
    </row>
    <row r="610" spans="1:26" s="29" customFormat="1" ht="21" customHeight="1" x14ac:dyDescent="0.2">
      <c r="A610" s="30"/>
      <c r="B610" s="56" t="s">
        <v>70</v>
      </c>
      <c r="C610" s="39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15</v>
      </c>
      <c r="F610" s="48" t="s">
        <v>69</v>
      </c>
      <c r="G610" s="43" t="str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/>
      </c>
      <c r="I610" s="458" t="s">
        <v>65</v>
      </c>
      <c r="J610" s="459"/>
      <c r="K610" s="57">
        <f>K608-K609</f>
        <v>31245.967741935485</v>
      </c>
      <c r="L610" s="58"/>
      <c r="N610" s="71"/>
      <c r="O610" s="72" t="s">
        <v>58</v>
      </c>
      <c r="P610" s="72">
        <v>30</v>
      </c>
      <c r="Q610" s="72">
        <v>0</v>
      </c>
      <c r="R610" s="72"/>
      <c r="S610" s="63"/>
      <c r="T610" s="72" t="s">
        <v>58</v>
      </c>
      <c r="U610" s="109" t="str">
        <f>IF($J$1="August","",Y609)</f>
        <v/>
      </c>
      <c r="V610" s="74"/>
      <c r="W610" s="109" t="str">
        <f t="shared" si="127"/>
        <v/>
      </c>
      <c r="X610" s="74"/>
      <c r="Y610" s="109" t="str">
        <f t="shared" si="128"/>
        <v/>
      </c>
      <c r="Z610" s="76"/>
    </row>
    <row r="611" spans="1:26" s="29" customFormat="1" ht="21" customHeight="1" x14ac:dyDescent="0.2">
      <c r="A611" s="30"/>
      <c r="L611" s="46"/>
      <c r="N611" s="71"/>
      <c r="O611" s="72" t="s">
        <v>54</v>
      </c>
      <c r="P611" s="72">
        <v>31</v>
      </c>
      <c r="Q611" s="72">
        <v>0</v>
      </c>
      <c r="R611" s="72">
        <v>15</v>
      </c>
      <c r="S611" s="63"/>
      <c r="T611" s="72" t="s">
        <v>54</v>
      </c>
      <c r="U611" s="109" t="str">
        <f>IF($J$1="September","",Y610)</f>
        <v/>
      </c>
      <c r="V611" s="74"/>
      <c r="W611" s="109" t="str">
        <f t="shared" si="127"/>
        <v/>
      </c>
      <c r="X611" s="74"/>
      <c r="Y611" s="109" t="str">
        <f t="shared" si="128"/>
        <v/>
      </c>
      <c r="Z611" s="76"/>
    </row>
    <row r="612" spans="1:26" s="29" customFormat="1" ht="21" customHeight="1" x14ac:dyDescent="0.2">
      <c r="A612" s="30"/>
      <c r="B612" s="455" t="s">
        <v>94</v>
      </c>
      <c r="C612" s="455"/>
      <c r="D612" s="455"/>
      <c r="E612" s="455"/>
      <c r="F612" s="455"/>
      <c r="G612" s="455"/>
      <c r="H612" s="455"/>
      <c r="I612" s="455"/>
      <c r="J612" s="455"/>
      <c r="K612" s="455"/>
      <c r="L612" s="46"/>
      <c r="N612" s="71"/>
      <c r="O612" s="72" t="s">
        <v>59</v>
      </c>
      <c r="P612" s="72"/>
      <c r="Q612" s="72"/>
      <c r="R612" s="72">
        <v>15</v>
      </c>
      <c r="S612" s="63"/>
      <c r="T612" s="72" t="s">
        <v>59</v>
      </c>
      <c r="U612" s="109" t="str">
        <f>IF($J$1="October","",Y611)</f>
        <v/>
      </c>
      <c r="V612" s="74"/>
      <c r="W612" s="109" t="str">
        <f t="shared" si="127"/>
        <v/>
      </c>
      <c r="X612" s="74"/>
      <c r="Y612" s="109" t="str">
        <f t="shared" si="128"/>
        <v/>
      </c>
      <c r="Z612" s="76"/>
    </row>
    <row r="613" spans="1:26" s="29" customFormat="1" ht="21" customHeight="1" x14ac:dyDescent="0.2">
      <c r="A613" s="30"/>
      <c r="B613" s="455"/>
      <c r="C613" s="455"/>
      <c r="D613" s="455"/>
      <c r="E613" s="455"/>
      <c r="F613" s="455"/>
      <c r="G613" s="455"/>
      <c r="H613" s="455"/>
      <c r="I613" s="455"/>
      <c r="J613" s="455"/>
      <c r="K613" s="455"/>
      <c r="L613" s="46"/>
      <c r="N613" s="71"/>
      <c r="O613" s="72" t="s">
        <v>60</v>
      </c>
      <c r="P613" s="72"/>
      <c r="Q613" s="72"/>
      <c r="R613" s="72" t="str">
        <f t="shared" ref="R613" si="129">IF(Q613="","",R612-Q613)</f>
        <v/>
      </c>
      <c r="S613" s="63"/>
      <c r="T613" s="72" t="s">
        <v>60</v>
      </c>
      <c r="U613" s="109" t="str">
        <f>IF($J$1="November","",Y612)</f>
        <v/>
      </c>
      <c r="V613" s="74"/>
      <c r="W613" s="109" t="str">
        <f t="shared" si="127"/>
        <v/>
      </c>
      <c r="X613" s="74"/>
      <c r="Y613" s="109" t="str">
        <f t="shared" si="128"/>
        <v/>
      </c>
      <c r="Z613" s="76"/>
    </row>
    <row r="614" spans="1:26" s="29" customFormat="1" ht="21" customHeight="1" thickBot="1" x14ac:dyDescent="0.25">
      <c r="A614" s="5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1"/>
      <c r="N614" s="77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9"/>
    </row>
    <row r="615" spans="1:26" s="29" customFormat="1" ht="21" customHeight="1" thickBot="1" x14ac:dyDescent="0.25"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s="29" customFormat="1" ht="21" customHeight="1" x14ac:dyDescent="0.2">
      <c r="A616" s="463" t="s">
        <v>42</v>
      </c>
      <c r="B616" s="464"/>
      <c r="C616" s="464"/>
      <c r="D616" s="464"/>
      <c r="E616" s="464"/>
      <c r="F616" s="464"/>
      <c r="G616" s="464"/>
      <c r="H616" s="464"/>
      <c r="I616" s="464"/>
      <c r="J616" s="464"/>
      <c r="K616" s="464"/>
      <c r="L616" s="465"/>
      <c r="M616" s="28"/>
      <c r="N616" s="64"/>
      <c r="O616" s="469" t="s">
        <v>44</v>
      </c>
      <c r="P616" s="470"/>
      <c r="Q616" s="470"/>
      <c r="R616" s="471"/>
      <c r="S616" s="65"/>
      <c r="T616" s="469" t="s">
        <v>45</v>
      </c>
      <c r="U616" s="470"/>
      <c r="V616" s="470"/>
      <c r="W616" s="470"/>
      <c r="X616" s="470"/>
      <c r="Y616" s="471"/>
      <c r="Z616" s="66"/>
    </row>
    <row r="617" spans="1:26" s="29" customFormat="1" ht="21" customHeight="1" x14ac:dyDescent="0.2">
      <c r="A617" s="30"/>
      <c r="C617" s="466" t="s">
        <v>92</v>
      </c>
      <c r="D617" s="466"/>
      <c r="E617" s="466"/>
      <c r="F617" s="466"/>
      <c r="G617" s="31" t="str">
        <f>$J$1</f>
        <v>October</v>
      </c>
      <c r="H617" s="467">
        <f>$K$1</f>
        <v>2022</v>
      </c>
      <c r="I617" s="467"/>
      <c r="K617" s="32"/>
      <c r="L617" s="33"/>
      <c r="M617" s="32"/>
      <c r="N617" s="67"/>
      <c r="O617" s="68" t="s">
        <v>55</v>
      </c>
      <c r="P617" s="68" t="s">
        <v>7</v>
      </c>
      <c r="Q617" s="68" t="s">
        <v>6</v>
      </c>
      <c r="R617" s="68" t="s">
        <v>56</v>
      </c>
      <c r="S617" s="69"/>
      <c r="T617" s="68" t="s">
        <v>55</v>
      </c>
      <c r="U617" s="68" t="s">
        <v>57</v>
      </c>
      <c r="V617" s="68" t="s">
        <v>22</v>
      </c>
      <c r="W617" s="68" t="s">
        <v>21</v>
      </c>
      <c r="X617" s="68" t="s">
        <v>23</v>
      </c>
      <c r="Y617" s="68" t="s">
        <v>61</v>
      </c>
      <c r="Z617" s="70"/>
    </row>
    <row r="618" spans="1:26" s="29" customFormat="1" ht="21" customHeight="1" x14ac:dyDescent="0.2">
      <c r="A618" s="30"/>
      <c r="D618" s="35"/>
      <c r="E618" s="35"/>
      <c r="F618" s="35"/>
      <c r="G618" s="35"/>
      <c r="H618" s="35"/>
      <c r="J618" s="36" t="s">
        <v>1</v>
      </c>
      <c r="K618" s="37">
        <v>21000</v>
      </c>
      <c r="L618" s="38"/>
      <c r="N618" s="71"/>
      <c r="O618" s="72" t="s">
        <v>47</v>
      </c>
      <c r="P618" s="72">
        <v>30</v>
      </c>
      <c r="Q618" s="72">
        <v>1</v>
      </c>
      <c r="R618" s="72">
        <f>15-Q618</f>
        <v>14</v>
      </c>
      <c r="S618" s="73"/>
      <c r="T618" s="72" t="s">
        <v>47</v>
      </c>
      <c r="U618" s="74">
        <v>6000</v>
      </c>
      <c r="V618" s="74"/>
      <c r="W618" s="74">
        <f>V618+U618</f>
        <v>6000</v>
      </c>
      <c r="X618" s="74">
        <v>2000</v>
      </c>
      <c r="Y618" s="74">
        <f>W618-X618</f>
        <v>4000</v>
      </c>
      <c r="Z618" s="70"/>
    </row>
    <row r="619" spans="1:26" s="29" customFormat="1" ht="21" customHeight="1" x14ac:dyDescent="0.2">
      <c r="A619" s="30"/>
      <c r="B619" s="29" t="s">
        <v>0</v>
      </c>
      <c r="C619" s="40" t="s">
        <v>120</v>
      </c>
      <c r="H619" s="41"/>
      <c r="I619" s="35"/>
      <c r="L619" s="42"/>
      <c r="M619" s="28"/>
      <c r="N619" s="75"/>
      <c r="O619" s="72" t="s">
        <v>73</v>
      </c>
      <c r="P619" s="72">
        <v>27</v>
      </c>
      <c r="Q619" s="72">
        <v>1</v>
      </c>
      <c r="R619" s="72">
        <f t="shared" ref="R619:R629" si="130">IF(Q619="","",R618-Q619)</f>
        <v>13</v>
      </c>
      <c r="S619" s="63"/>
      <c r="T619" s="72" t="s">
        <v>73</v>
      </c>
      <c r="U619" s="109">
        <f>Y618</f>
        <v>4000</v>
      </c>
      <c r="V619" s="74"/>
      <c r="W619" s="109">
        <f>IF(U619="","",U619+V619)</f>
        <v>4000</v>
      </c>
      <c r="X619" s="74">
        <v>2000</v>
      </c>
      <c r="Y619" s="109">
        <f>IF(W619="","",W619-X619)</f>
        <v>2000</v>
      </c>
      <c r="Z619" s="76"/>
    </row>
    <row r="620" spans="1:26" s="29" customFormat="1" ht="21" customHeight="1" x14ac:dyDescent="0.2">
      <c r="A620" s="30"/>
      <c r="B620" s="44" t="s">
        <v>43</v>
      </c>
      <c r="C620" s="40"/>
      <c r="F620" s="468" t="s">
        <v>45</v>
      </c>
      <c r="G620" s="468"/>
      <c r="I620" s="468" t="s">
        <v>46</v>
      </c>
      <c r="J620" s="468"/>
      <c r="K620" s="468"/>
      <c r="L620" s="46"/>
      <c r="N620" s="71"/>
      <c r="O620" s="72" t="s">
        <v>48</v>
      </c>
      <c r="P620" s="72">
        <v>31</v>
      </c>
      <c r="Q620" s="72">
        <v>0</v>
      </c>
      <c r="R620" s="72">
        <f t="shared" si="130"/>
        <v>13</v>
      </c>
      <c r="S620" s="63"/>
      <c r="T620" s="72" t="s">
        <v>48</v>
      </c>
      <c r="U620" s="109">
        <f>Y619</f>
        <v>2000</v>
      </c>
      <c r="V620" s="74"/>
      <c r="W620" s="109">
        <f t="shared" ref="W620:W629" si="131">IF(U620="","",U620+V620)</f>
        <v>2000</v>
      </c>
      <c r="X620" s="74">
        <v>2000</v>
      </c>
      <c r="Y620" s="109">
        <f t="shared" ref="Y620:Y629" si="132">IF(W620="","",W620-X620)</f>
        <v>0</v>
      </c>
      <c r="Z620" s="76"/>
    </row>
    <row r="621" spans="1:26" s="29" customFormat="1" ht="21" customHeight="1" x14ac:dyDescent="0.2">
      <c r="A621" s="30"/>
      <c r="H621" s="47"/>
      <c r="L621" s="34"/>
      <c r="N621" s="71"/>
      <c r="O621" s="72" t="s">
        <v>49</v>
      </c>
      <c r="P621" s="72">
        <v>30</v>
      </c>
      <c r="Q621" s="72">
        <v>0</v>
      </c>
      <c r="R621" s="72">
        <f t="shared" si="130"/>
        <v>13</v>
      </c>
      <c r="S621" s="63"/>
      <c r="T621" s="72" t="s">
        <v>49</v>
      </c>
      <c r="U621" s="109">
        <f>Y620</f>
        <v>0</v>
      </c>
      <c r="V621" s="74"/>
      <c r="W621" s="109">
        <f t="shared" si="131"/>
        <v>0</v>
      </c>
      <c r="X621" s="74"/>
      <c r="Y621" s="109">
        <f t="shared" si="132"/>
        <v>0</v>
      </c>
      <c r="Z621" s="76"/>
    </row>
    <row r="622" spans="1:26" s="29" customFormat="1" ht="21" customHeight="1" x14ac:dyDescent="0.2">
      <c r="A622" s="30"/>
      <c r="B622" s="472" t="s">
        <v>44</v>
      </c>
      <c r="C622" s="473"/>
      <c r="F622" s="48" t="s">
        <v>66</v>
      </c>
      <c r="G622" s="43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7"/>
      <c r="I622" s="420">
        <f>IF(C626&gt;0,$K$2,C624)+4</f>
        <v>35</v>
      </c>
      <c r="J622" s="50" t="s">
        <v>63</v>
      </c>
      <c r="K622" s="51">
        <f>K618/$K$2*I622</f>
        <v>23709.677419354837</v>
      </c>
      <c r="L622" s="52"/>
      <c r="N622" s="71"/>
      <c r="O622" s="72" t="s">
        <v>50</v>
      </c>
      <c r="P622" s="72">
        <v>30</v>
      </c>
      <c r="Q622" s="72">
        <v>1</v>
      </c>
      <c r="R622" s="72">
        <f t="shared" si="130"/>
        <v>12</v>
      </c>
      <c r="S622" s="63"/>
      <c r="T622" s="72" t="s">
        <v>50</v>
      </c>
      <c r="U622" s="109">
        <f t="shared" ref="U622:U626" si="133">Y621</f>
        <v>0</v>
      </c>
      <c r="V622" s="74"/>
      <c r="W622" s="109">
        <f t="shared" ref="W622:W626" si="134">IF(U622="","",U622+V622)</f>
        <v>0</v>
      </c>
      <c r="X622" s="74"/>
      <c r="Y622" s="109">
        <f t="shared" ref="Y622:Y626" si="135">IF(W622="","",W622-X622)</f>
        <v>0</v>
      </c>
      <c r="Z622" s="76"/>
    </row>
    <row r="623" spans="1:26" s="29" customFormat="1" ht="21" customHeight="1" x14ac:dyDescent="0.2">
      <c r="A623" s="30"/>
      <c r="B623" s="39"/>
      <c r="C623" s="39"/>
      <c r="F623" s="48" t="s">
        <v>22</v>
      </c>
      <c r="G623" s="43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0</v>
      </c>
      <c r="H623" s="47"/>
      <c r="I623" s="84"/>
      <c r="J623" s="50" t="s">
        <v>64</v>
      </c>
      <c r="K623" s="53">
        <f>K618/$K$2/8*I623</f>
        <v>0</v>
      </c>
      <c r="L623" s="54"/>
      <c r="N623" s="71"/>
      <c r="O623" s="72" t="s">
        <v>51</v>
      </c>
      <c r="P623" s="72">
        <v>29</v>
      </c>
      <c r="Q623" s="72">
        <v>1</v>
      </c>
      <c r="R623" s="72">
        <f t="shared" si="130"/>
        <v>11</v>
      </c>
      <c r="S623" s="63"/>
      <c r="T623" s="72" t="s">
        <v>51</v>
      </c>
      <c r="U623" s="109">
        <f t="shared" si="133"/>
        <v>0</v>
      </c>
      <c r="V623" s="74"/>
      <c r="W623" s="109">
        <f t="shared" si="134"/>
        <v>0</v>
      </c>
      <c r="X623" s="74"/>
      <c r="Y623" s="109">
        <f t="shared" si="135"/>
        <v>0</v>
      </c>
      <c r="Z623" s="76"/>
    </row>
    <row r="624" spans="1:26" s="29" customFormat="1" ht="21" customHeight="1" x14ac:dyDescent="0.2">
      <c r="A624" s="30"/>
      <c r="B624" s="48" t="s">
        <v>7</v>
      </c>
      <c r="C624" s="39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29</v>
      </c>
      <c r="F624" s="48" t="s">
        <v>67</v>
      </c>
      <c r="G624" s="43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>0</v>
      </c>
      <c r="H624" s="47"/>
      <c r="I624" s="456" t="s">
        <v>71</v>
      </c>
      <c r="J624" s="457"/>
      <c r="K624" s="53">
        <f>K622+K623</f>
        <v>23709.677419354837</v>
      </c>
      <c r="L624" s="54"/>
      <c r="N624" s="71"/>
      <c r="O624" s="72" t="s">
        <v>52</v>
      </c>
      <c r="P624" s="72">
        <v>30</v>
      </c>
      <c r="Q624" s="72">
        <v>1</v>
      </c>
      <c r="R624" s="72">
        <f t="shared" si="130"/>
        <v>10</v>
      </c>
      <c r="S624" s="63"/>
      <c r="T624" s="72" t="s">
        <v>52</v>
      </c>
      <c r="U624" s="109">
        <f t="shared" si="133"/>
        <v>0</v>
      </c>
      <c r="V624" s="74"/>
      <c r="W624" s="109">
        <f t="shared" si="134"/>
        <v>0</v>
      </c>
      <c r="X624" s="74"/>
      <c r="Y624" s="109">
        <f t="shared" si="135"/>
        <v>0</v>
      </c>
      <c r="Z624" s="76"/>
    </row>
    <row r="625" spans="1:26" s="29" customFormat="1" ht="21" customHeight="1" x14ac:dyDescent="0.2">
      <c r="A625" s="30"/>
      <c r="B625" s="48" t="s">
        <v>6</v>
      </c>
      <c r="C625" s="39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2</v>
      </c>
      <c r="F625" s="48" t="s">
        <v>23</v>
      </c>
      <c r="G625" s="43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0</v>
      </c>
      <c r="H625" s="47"/>
      <c r="I625" s="456" t="s">
        <v>72</v>
      </c>
      <c r="J625" s="457"/>
      <c r="K625" s="43">
        <f>G625</f>
        <v>0</v>
      </c>
      <c r="L625" s="55"/>
      <c r="N625" s="71"/>
      <c r="O625" s="72" t="s">
        <v>53</v>
      </c>
      <c r="P625" s="72">
        <v>27</v>
      </c>
      <c r="Q625" s="72">
        <v>4</v>
      </c>
      <c r="R625" s="72">
        <f t="shared" si="130"/>
        <v>6</v>
      </c>
      <c r="S625" s="63"/>
      <c r="T625" s="72" t="s">
        <v>53</v>
      </c>
      <c r="U625" s="109">
        <f t="shared" si="133"/>
        <v>0</v>
      </c>
      <c r="V625" s="74"/>
      <c r="W625" s="109">
        <f t="shared" si="134"/>
        <v>0</v>
      </c>
      <c r="X625" s="74"/>
      <c r="Y625" s="109">
        <f t="shared" si="135"/>
        <v>0</v>
      </c>
      <c r="Z625" s="76"/>
    </row>
    <row r="626" spans="1:26" s="29" customFormat="1" ht="21" customHeight="1" x14ac:dyDescent="0.2">
      <c r="A626" s="30"/>
      <c r="B626" s="56" t="s">
        <v>70</v>
      </c>
      <c r="C626" s="39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3</v>
      </c>
      <c r="F626" s="48" t="s">
        <v>69</v>
      </c>
      <c r="G626" s="43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>0</v>
      </c>
      <c r="I626" s="458" t="s">
        <v>65</v>
      </c>
      <c r="J626" s="459"/>
      <c r="K626" s="57">
        <f>K624-K625</f>
        <v>23709.677419354837</v>
      </c>
      <c r="L626" s="58"/>
      <c r="N626" s="71"/>
      <c r="O626" s="72" t="s">
        <v>58</v>
      </c>
      <c r="P626" s="72">
        <v>29</v>
      </c>
      <c r="Q626" s="72">
        <v>1</v>
      </c>
      <c r="R626" s="72">
        <f t="shared" si="130"/>
        <v>5</v>
      </c>
      <c r="S626" s="63"/>
      <c r="T626" s="72" t="s">
        <v>58</v>
      </c>
      <c r="U626" s="109">
        <f t="shared" si="133"/>
        <v>0</v>
      </c>
      <c r="V626" s="74">
        <v>65</v>
      </c>
      <c r="W626" s="109">
        <f t="shared" si="134"/>
        <v>65</v>
      </c>
      <c r="X626" s="74">
        <v>65</v>
      </c>
      <c r="Y626" s="109">
        <f t="shared" si="135"/>
        <v>0</v>
      </c>
      <c r="Z626" s="76"/>
    </row>
    <row r="627" spans="1:26" s="29" customFormat="1" ht="21" customHeight="1" x14ac:dyDescent="0.2">
      <c r="A627" s="30"/>
      <c r="K627" s="113"/>
      <c r="L627" s="46"/>
      <c r="N627" s="71"/>
      <c r="O627" s="72" t="s">
        <v>54</v>
      </c>
      <c r="P627" s="72">
        <v>29</v>
      </c>
      <c r="Q627" s="72">
        <v>2</v>
      </c>
      <c r="R627" s="72">
        <f t="shared" si="130"/>
        <v>3</v>
      </c>
      <c r="S627" s="63"/>
      <c r="T627" s="72" t="s">
        <v>54</v>
      </c>
      <c r="U627" s="109">
        <f>Y626</f>
        <v>0</v>
      </c>
      <c r="V627" s="74"/>
      <c r="W627" s="109">
        <f t="shared" si="131"/>
        <v>0</v>
      </c>
      <c r="X627" s="74"/>
      <c r="Y627" s="109">
        <f t="shared" si="132"/>
        <v>0</v>
      </c>
      <c r="Z627" s="76"/>
    </row>
    <row r="628" spans="1:26" s="29" customFormat="1" ht="21" customHeight="1" x14ac:dyDescent="0.2">
      <c r="A628" s="30"/>
      <c r="B628" s="455" t="s">
        <v>94</v>
      </c>
      <c r="C628" s="455"/>
      <c r="D628" s="455"/>
      <c r="E628" s="455"/>
      <c r="F628" s="455"/>
      <c r="G628" s="455"/>
      <c r="H628" s="455"/>
      <c r="I628" s="455"/>
      <c r="J628" s="455"/>
      <c r="K628" s="455"/>
      <c r="L628" s="46"/>
      <c r="N628" s="71"/>
      <c r="O628" s="72" t="s">
        <v>59</v>
      </c>
      <c r="P628" s="72"/>
      <c r="Q628" s="72"/>
      <c r="R628" s="72" t="str">
        <f t="shared" si="130"/>
        <v/>
      </c>
      <c r="S628" s="63"/>
      <c r="T628" s="72" t="s">
        <v>59</v>
      </c>
      <c r="U628" s="109"/>
      <c r="V628" s="74"/>
      <c r="W628" s="109" t="str">
        <f t="shared" si="131"/>
        <v/>
      </c>
      <c r="X628" s="74"/>
      <c r="Y628" s="109" t="str">
        <f t="shared" si="132"/>
        <v/>
      </c>
      <c r="Z628" s="76"/>
    </row>
    <row r="629" spans="1:26" s="29" customFormat="1" ht="21" customHeight="1" x14ac:dyDescent="0.2">
      <c r="A629" s="30"/>
      <c r="B629" s="455"/>
      <c r="C629" s="455"/>
      <c r="D629" s="455"/>
      <c r="E629" s="455"/>
      <c r="F629" s="455"/>
      <c r="G629" s="455"/>
      <c r="H629" s="455"/>
      <c r="I629" s="455"/>
      <c r="J629" s="455"/>
      <c r="K629" s="455"/>
      <c r="L629" s="46"/>
      <c r="N629" s="71"/>
      <c r="O629" s="72" t="s">
        <v>60</v>
      </c>
      <c r="P629" s="72"/>
      <c r="Q629" s="72"/>
      <c r="R629" s="72" t="str">
        <f t="shared" si="130"/>
        <v/>
      </c>
      <c r="S629" s="63"/>
      <c r="T629" s="72" t="s">
        <v>60</v>
      </c>
      <c r="U629" s="109"/>
      <c r="V629" s="74"/>
      <c r="W629" s="109" t="str">
        <f t="shared" si="131"/>
        <v/>
      </c>
      <c r="X629" s="74"/>
      <c r="Y629" s="109" t="str">
        <f t="shared" si="132"/>
        <v/>
      </c>
      <c r="Z629" s="76"/>
    </row>
    <row r="630" spans="1:26" s="29" customFormat="1" ht="21" customHeight="1" thickBot="1" x14ac:dyDescent="0.25">
      <c r="A630" s="5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1"/>
      <c r="N630" s="77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9"/>
    </row>
    <row r="631" spans="1:26" s="29" customFormat="1" ht="21" customHeight="1" thickBot="1" x14ac:dyDescent="0.25"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s="29" customFormat="1" ht="21" customHeight="1" x14ac:dyDescent="0.2">
      <c r="A632" s="488" t="s">
        <v>42</v>
      </c>
      <c r="B632" s="489"/>
      <c r="C632" s="489"/>
      <c r="D632" s="489"/>
      <c r="E632" s="489"/>
      <c r="F632" s="489"/>
      <c r="G632" s="489"/>
      <c r="H632" s="489"/>
      <c r="I632" s="489"/>
      <c r="J632" s="489"/>
      <c r="K632" s="489"/>
      <c r="L632" s="490"/>
      <c r="M632" s="28"/>
      <c r="N632" s="64"/>
      <c r="O632" s="469" t="s">
        <v>44</v>
      </c>
      <c r="P632" s="470"/>
      <c r="Q632" s="470"/>
      <c r="R632" s="471"/>
      <c r="S632" s="65"/>
      <c r="T632" s="469" t="s">
        <v>45</v>
      </c>
      <c r="U632" s="470"/>
      <c r="V632" s="470"/>
      <c r="W632" s="470"/>
      <c r="X632" s="470"/>
      <c r="Y632" s="471"/>
      <c r="Z632" s="66"/>
    </row>
    <row r="633" spans="1:26" s="29" customFormat="1" ht="21" customHeight="1" x14ac:dyDescent="0.2">
      <c r="A633" s="30"/>
      <c r="C633" s="466" t="s">
        <v>92</v>
      </c>
      <c r="D633" s="466"/>
      <c r="E633" s="466"/>
      <c r="F633" s="466"/>
      <c r="G633" s="31" t="str">
        <f>$J$1</f>
        <v>October</v>
      </c>
      <c r="H633" s="467">
        <f>$K$1</f>
        <v>2022</v>
      </c>
      <c r="I633" s="467"/>
      <c r="K633" s="32"/>
      <c r="L633" s="33"/>
      <c r="M633" s="32"/>
      <c r="N633" s="67"/>
      <c r="O633" s="68" t="s">
        <v>55</v>
      </c>
      <c r="P633" s="68" t="s">
        <v>7</v>
      </c>
      <c r="Q633" s="68" t="s">
        <v>6</v>
      </c>
      <c r="R633" s="68" t="s">
        <v>56</v>
      </c>
      <c r="S633" s="69"/>
      <c r="T633" s="68" t="s">
        <v>55</v>
      </c>
      <c r="U633" s="68" t="s">
        <v>57</v>
      </c>
      <c r="V633" s="68" t="s">
        <v>22</v>
      </c>
      <c r="W633" s="68" t="s">
        <v>21</v>
      </c>
      <c r="X633" s="68" t="s">
        <v>23</v>
      </c>
      <c r="Y633" s="68" t="s">
        <v>61</v>
      </c>
      <c r="Z633" s="70"/>
    </row>
    <row r="634" spans="1:26" s="29" customFormat="1" ht="21" customHeight="1" x14ac:dyDescent="0.2">
      <c r="A634" s="30"/>
      <c r="D634" s="35"/>
      <c r="E634" s="35"/>
      <c r="F634" s="35"/>
      <c r="G634" s="35"/>
      <c r="H634" s="35"/>
      <c r="J634" s="36" t="s">
        <v>1</v>
      </c>
      <c r="K634" s="37">
        <v>28000</v>
      </c>
      <c r="L634" s="38"/>
      <c r="N634" s="71"/>
      <c r="O634" s="72" t="s">
        <v>47</v>
      </c>
      <c r="P634" s="72"/>
      <c r="Q634" s="72"/>
      <c r="R634" s="72">
        <v>0</v>
      </c>
      <c r="S634" s="73"/>
      <c r="T634" s="72" t="s">
        <v>47</v>
      </c>
      <c r="U634" s="74"/>
      <c r="V634" s="74"/>
      <c r="W634" s="74">
        <f>V634+U634</f>
        <v>0</v>
      </c>
      <c r="X634" s="74"/>
      <c r="Y634" s="74">
        <f>W634-X634</f>
        <v>0</v>
      </c>
      <c r="Z634" s="70"/>
    </row>
    <row r="635" spans="1:26" s="29" customFormat="1" ht="21" customHeight="1" x14ac:dyDescent="0.2">
      <c r="A635" s="30"/>
      <c r="B635" s="29" t="s">
        <v>0</v>
      </c>
      <c r="C635" s="40" t="s">
        <v>252</v>
      </c>
      <c r="H635" s="41"/>
      <c r="I635" s="35"/>
      <c r="L635" s="42"/>
      <c r="M635" s="28"/>
      <c r="N635" s="75"/>
      <c r="O635" s="72" t="s">
        <v>73</v>
      </c>
      <c r="P635" s="72"/>
      <c r="Q635" s="72"/>
      <c r="R635" s="72">
        <v>0</v>
      </c>
      <c r="S635" s="63"/>
      <c r="T635" s="72" t="s">
        <v>73</v>
      </c>
      <c r="U635" s="109"/>
      <c r="V635" s="74"/>
      <c r="W635" s="74">
        <f>V635+U635</f>
        <v>0</v>
      </c>
      <c r="X635" s="74"/>
      <c r="Y635" s="109">
        <f>IF(W635="","",W635-X635)</f>
        <v>0</v>
      </c>
      <c r="Z635" s="76"/>
    </row>
    <row r="636" spans="1:26" s="29" customFormat="1" ht="21" customHeight="1" x14ac:dyDescent="0.2">
      <c r="A636" s="30"/>
      <c r="B636" s="44" t="s">
        <v>43</v>
      </c>
      <c r="C636" s="40"/>
      <c r="F636" s="468" t="s">
        <v>45</v>
      </c>
      <c r="G636" s="468"/>
      <c r="I636" s="468" t="s">
        <v>46</v>
      </c>
      <c r="J636" s="468"/>
      <c r="K636" s="468"/>
      <c r="L636" s="46"/>
      <c r="N636" s="71"/>
      <c r="O636" s="72" t="s">
        <v>48</v>
      </c>
      <c r="P636" s="72"/>
      <c r="Q636" s="72"/>
      <c r="R636" s="72">
        <v>0</v>
      </c>
      <c r="S636" s="63"/>
      <c r="T636" s="72" t="s">
        <v>48</v>
      </c>
      <c r="U636" s="109"/>
      <c r="V636" s="74"/>
      <c r="W636" s="109" t="str">
        <f t="shared" ref="W636:W645" si="136">IF(U636="","",U636+V636)</f>
        <v/>
      </c>
      <c r="X636" s="74"/>
      <c r="Y636" s="109" t="str">
        <f t="shared" ref="Y636:Y645" si="137">IF(W636="","",W636-X636)</f>
        <v/>
      </c>
      <c r="Z636" s="76"/>
    </row>
    <row r="637" spans="1:26" s="29" customFormat="1" ht="21" customHeight="1" x14ac:dyDescent="0.2">
      <c r="A637" s="30"/>
      <c r="H637" s="47"/>
      <c r="L637" s="34"/>
      <c r="N637" s="71"/>
      <c r="O637" s="72" t="s">
        <v>49</v>
      </c>
      <c r="P637" s="72"/>
      <c r="Q637" s="72"/>
      <c r="R637" s="72">
        <v>0</v>
      </c>
      <c r="S637" s="63"/>
      <c r="T637" s="72" t="s">
        <v>49</v>
      </c>
      <c r="U637" s="109"/>
      <c r="V637" s="74"/>
      <c r="W637" s="109" t="str">
        <f t="shared" si="136"/>
        <v/>
      </c>
      <c r="X637" s="74"/>
      <c r="Y637" s="109" t="str">
        <f t="shared" si="137"/>
        <v/>
      </c>
      <c r="Z637" s="76"/>
    </row>
    <row r="638" spans="1:26" s="29" customFormat="1" ht="21" customHeight="1" x14ac:dyDescent="0.2">
      <c r="A638" s="30"/>
      <c r="B638" s="472" t="s">
        <v>44</v>
      </c>
      <c r="C638" s="473"/>
      <c r="F638" s="48" t="s">
        <v>66</v>
      </c>
      <c r="G638" s="43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>0</v>
      </c>
      <c r="H638" s="47"/>
      <c r="I638" s="49">
        <f>IF(C642&gt;0,$K$2,C640)</f>
        <v>31</v>
      </c>
      <c r="J638" s="50" t="s">
        <v>63</v>
      </c>
      <c r="K638" s="51">
        <f>K634/$K$2*I638</f>
        <v>28000</v>
      </c>
      <c r="L638" s="52"/>
      <c r="N638" s="71"/>
      <c r="O638" s="72" t="s">
        <v>50</v>
      </c>
      <c r="P638" s="72"/>
      <c r="Q638" s="72"/>
      <c r="R638" s="72">
        <v>0</v>
      </c>
      <c r="S638" s="63"/>
      <c r="T638" s="72" t="s">
        <v>50</v>
      </c>
      <c r="U638" s="109"/>
      <c r="V638" s="74"/>
      <c r="W638" s="109" t="str">
        <f t="shared" si="136"/>
        <v/>
      </c>
      <c r="X638" s="74"/>
      <c r="Y638" s="109" t="str">
        <f t="shared" si="137"/>
        <v/>
      </c>
      <c r="Z638" s="76"/>
    </row>
    <row r="639" spans="1:26" s="29" customFormat="1" ht="21" customHeight="1" x14ac:dyDescent="0.2">
      <c r="A639" s="30"/>
      <c r="B639" s="39"/>
      <c r="C639" s="39"/>
      <c r="F639" s="48" t="s">
        <v>22</v>
      </c>
      <c r="G639" s="43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7"/>
      <c r="I639" s="84"/>
      <c r="J639" s="50" t="s">
        <v>64</v>
      </c>
      <c r="K639" s="53">
        <f>K634/$K$2/8*I639</f>
        <v>0</v>
      </c>
      <c r="L639" s="54"/>
      <c r="N639" s="71"/>
      <c r="O639" s="72" t="s">
        <v>51</v>
      </c>
      <c r="P639" s="72"/>
      <c r="Q639" s="72"/>
      <c r="R639" s="72">
        <v>0</v>
      </c>
      <c r="S639" s="63"/>
      <c r="T639" s="72" t="s">
        <v>51</v>
      </c>
      <c r="U639" s="109"/>
      <c r="V639" s="74"/>
      <c r="W639" s="109" t="str">
        <f t="shared" si="136"/>
        <v/>
      </c>
      <c r="X639" s="74"/>
      <c r="Y639" s="109" t="str">
        <f t="shared" si="137"/>
        <v/>
      </c>
      <c r="Z639" s="76"/>
    </row>
    <row r="640" spans="1:26" s="29" customFormat="1" ht="21" customHeight="1" x14ac:dyDescent="0.2">
      <c r="A640" s="30"/>
      <c r="B640" s="48" t="s">
        <v>7</v>
      </c>
      <c r="C640" s="39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31</v>
      </c>
      <c r="F640" s="48" t="s">
        <v>67</v>
      </c>
      <c r="G640" s="43" t="str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/>
      </c>
      <c r="H640" s="47"/>
      <c r="I640" s="456" t="s">
        <v>71</v>
      </c>
      <c r="J640" s="457"/>
      <c r="K640" s="53">
        <f>K638+K639</f>
        <v>28000</v>
      </c>
      <c r="L640" s="54"/>
      <c r="N640" s="71"/>
      <c r="O640" s="72" t="s">
        <v>52</v>
      </c>
      <c r="P640" s="72">
        <v>29</v>
      </c>
      <c r="Q640" s="72">
        <v>2</v>
      </c>
      <c r="R640" s="72">
        <v>0</v>
      </c>
      <c r="S640" s="63"/>
      <c r="T640" s="72" t="s">
        <v>52</v>
      </c>
      <c r="U640" s="109"/>
      <c r="V640" s="74"/>
      <c r="W640" s="109" t="str">
        <f t="shared" si="136"/>
        <v/>
      </c>
      <c r="X640" s="74"/>
      <c r="Y640" s="109" t="str">
        <f t="shared" si="137"/>
        <v/>
      </c>
      <c r="Z640" s="76"/>
    </row>
    <row r="641" spans="1:27" s="29" customFormat="1" ht="21" customHeight="1" x14ac:dyDescent="0.2">
      <c r="A641" s="30"/>
      <c r="B641" s="48" t="s">
        <v>6</v>
      </c>
      <c r="C641" s="39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0</v>
      </c>
      <c r="F641" s="48" t="s">
        <v>23</v>
      </c>
      <c r="G641" s="43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0</v>
      </c>
      <c r="H641" s="47"/>
      <c r="I641" s="456" t="s">
        <v>72</v>
      </c>
      <c r="J641" s="457"/>
      <c r="K641" s="43">
        <f>G641</f>
        <v>0</v>
      </c>
      <c r="L641" s="55"/>
      <c r="N641" s="71"/>
      <c r="O641" s="72" t="s">
        <v>53</v>
      </c>
      <c r="P641" s="72">
        <v>31</v>
      </c>
      <c r="Q641" s="72">
        <v>0</v>
      </c>
      <c r="R641" s="72">
        <v>0</v>
      </c>
      <c r="S641" s="63"/>
      <c r="T641" s="72" t="s">
        <v>53</v>
      </c>
      <c r="U641" s="109"/>
      <c r="V641" s="74"/>
      <c r="W641" s="109" t="str">
        <f t="shared" si="136"/>
        <v/>
      </c>
      <c r="X641" s="74"/>
      <c r="Y641" s="109" t="str">
        <f t="shared" si="137"/>
        <v/>
      </c>
      <c r="Z641" s="76"/>
    </row>
    <row r="642" spans="1:27" s="29" customFormat="1" ht="21" customHeight="1" x14ac:dyDescent="0.2">
      <c r="A642" s="30"/>
      <c r="B642" s="56" t="s">
        <v>70</v>
      </c>
      <c r="C642" s="39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0</v>
      </c>
      <c r="F642" s="48" t="s">
        <v>193</v>
      </c>
      <c r="G642" s="43" t="str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/>
      </c>
      <c r="I642" s="458" t="s">
        <v>65</v>
      </c>
      <c r="J642" s="459"/>
      <c r="K642" s="57">
        <f>K640-K641</f>
        <v>28000</v>
      </c>
      <c r="L642" s="58"/>
      <c r="N642" s="71"/>
      <c r="O642" s="72" t="s">
        <v>58</v>
      </c>
      <c r="P642" s="72">
        <v>30</v>
      </c>
      <c r="Q642" s="72">
        <v>0</v>
      </c>
      <c r="R642" s="72">
        <v>0</v>
      </c>
      <c r="S642" s="63"/>
      <c r="T642" s="72" t="s">
        <v>58</v>
      </c>
      <c r="U642" s="109"/>
      <c r="V642" s="74"/>
      <c r="W642" s="109" t="str">
        <f t="shared" si="136"/>
        <v/>
      </c>
      <c r="X642" s="74"/>
      <c r="Y642" s="109" t="str">
        <f t="shared" si="137"/>
        <v/>
      </c>
      <c r="Z642" s="76"/>
    </row>
    <row r="643" spans="1:27" s="29" customFormat="1" ht="21" customHeight="1" x14ac:dyDescent="0.2">
      <c r="A643" s="30"/>
      <c r="L643" s="46"/>
      <c r="N643" s="71"/>
      <c r="O643" s="72" t="s">
        <v>54</v>
      </c>
      <c r="P643" s="72">
        <v>31</v>
      </c>
      <c r="Q643" s="72">
        <v>0</v>
      </c>
      <c r="R643" s="72">
        <f>IF(Q643="","",R642-Q643)</f>
        <v>0</v>
      </c>
      <c r="S643" s="63"/>
      <c r="T643" s="72" t="s">
        <v>54</v>
      </c>
      <c r="U643" s="109"/>
      <c r="V643" s="74"/>
      <c r="W643" s="109" t="str">
        <f t="shared" si="136"/>
        <v/>
      </c>
      <c r="X643" s="74"/>
      <c r="Y643" s="109" t="str">
        <f t="shared" si="137"/>
        <v/>
      </c>
      <c r="Z643" s="76"/>
    </row>
    <row r="644" spans="1:27" s="29" customFormat="1" ht="21" customHeight="1" x14ac:dyDescent="0.2">
      <c r="A644" s="30"/>
      <c r="B644" s="455" t="s">
        <v>94</v>
      </c>
      <c r="C644" s="455"/>
      <c r="D644" s="455"/>
      <c r="E644" s="455"/>
      <c r="F644" s="455"/>
      <c r="G644" s="455"/>
      <c r="H644" s="455"/>
      <c r="I644" s="455"/>
      <c r="J644" s="455"/>
      <c r="K644" s="455"/>
      <c r="L644" s="46"/>
      <c r="N644" s="71"/>
      <c r="O644" s="72" t="s">
        <v>59</v>
      </c>
      <c r="P644" s="72"/>
      <c r="Q644" s="72"/>
      <c r="R644" s="72">
        <v>0</v>
      </c>
      <c r="S644" s="63"/>
      <c r="T644" s="72" t="s">
        <v>59</v>
      </c>
      <c r="U644" s="109"/>
      <c r="V644" s="74"/>
      <c r="W644" s="109" t="str">
        <f t="shared" si="136"/>
        <v/>
      </c>
      <c r="X644" s="74"/>
      <c r="Y644" s="109" t="str">
        <f t="shared" si="137"/>
        <v/>
      </c>
      <c r="Z644" s="76"/>
    </row>
    <row r="645" spans="1:27" s="29" customFormat="1" ht="21" customHeight="1" x14ac:dyDescent="0.2">
      <c r="A645" s="30"/>
      <c r="B645" s="455"/>
      <c r="C645" s="455"/>
      <c r="D645" s="455"/>
      <c r="E645" s="455"/>
      <c r="F645" s="455"/>
      <c r="G645" s="455"/>
      <c r="H645" s="455"/>
      <c r="I645" s="455"/>
      <c r="J645" s="455"/>
      <c r="K645" s="455"/>
      <c r="L645" s="46"/>
      <c r="N645" s="71"/>
      <c r="O645" s="72" t="s">
        <v>60</v>
      </c>
      <c r="P645" s="72"/>
      <c r="Q645" s="72"/>
      <c r="R645" s="72" t="str">
        <f>IF(Q645="","",R644-Q645)</f>
        <v/>
      </c>
      <c r="S645" s="63"/>
      <c r="T645" s="72" t="s">
        <v>60</v>
      </c>
      <c r="U645" s="109" t="str">
        <f>IF($J$1="Dec",Y644,"")</f>
        <v/>
      </c>
      <c r="V645" s="74"/>
      <c r="W645" s="109" t="str">
        <f t="shared" si="136"/>
        <v/>
      </c>
      <c r="X645" s="74"/>
      <c r="Y645" s="109" t="str">
        <f t="shared" si="137"/>
        <v/>
      </c>
      <c r="Z645" s="76"/>
    </row>
    <row r="646" spans="1:27" s="29" customFormat="1" ht="22.15" customHeight="1" thickBot="1" x14ac:dyDescent="0.25">
      <c r="A646" s="5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1"/>
      <c r="N646" s="77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9"/>
    </row>
    <row r="647" spans="1:27" s="29" customFormat="1" ht="21" customHeight="1" thickBot="1" x14ac:dyDescent="0.25"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7" s="29" customFormat="1" ht="21" customHeight="1" x14ac:dyDescent="0.2">
      <c r="A648" s="477" t="s">
        <v>42</v>
      </c>
      <c r="B648" s="478"/>
      <c r="C648" s="478"/>
      <c r="D648" s="478"/>
      <c r="E648" s="478"/>
      <c r="F648" s="478"/>
      <c r="G648" s="478"/>
      <c r="H648" s="478"/>
      <c r="I648" s="478"/>
      <c r="J648" s="478"/>
      <c r="K648" s="478"/>
      <c r="L648" s="479"/>
      <c r="M648" s="28"/>
      <c r="N648" s="64"/>
      <c r="O648" s="469" t="s">
        <v>44</v>
      </c>
      <c r="P648" s="470"/>
      <c r="Q648" s="470"/>
      <c r="R648" s="471"/>
      <c r="S648" s="65"/>
      <c r="T648" s="469" t="s">
        <v>45</v>
      </c>
      <c r="U648" s="470"/>
      <c r="V648" s="470"/>
      <c r="W648" s="470"/>
      <c r="X648" s="470"/>
      <c r="Y648" s="471"/>
      <c r="Z648" s="66"/>
      <c r="AA648" s="28"/>
    </row>
    <row r="649" spans="1:27" s="29" customFormat="1" ht="21" customHeight="1" x14ac:dyDescent="0.2">
      <c r="A649" s="329"/>
      <c r="C649" s="466" t="s">
        <v>92</v>
      </c>
      <c r="D649" s="466"/>
      <c r="E649" s="466"/>
      <c r="F649" s="466"/>
      <c r="G649" s="31" t="str">
        <f>$J$1</f>
        <v>October</v>
      </c>
      <c r="H649" s="467">
        <f>$K$1</f>
        <v>2022</v>
      </c>
      <c r="I649" s="467"/>
      <c r="K649" s="32"/>
      <c r="L649" s="330"/>
      <c r="M649" s="32"/>
      <c r="N649" s="67"/>
      <c r="O649" s="68" t="s">
        <v>55</v>
      </c>
      <c r="P649" s="68" t="s">
        <v>7</v>
      </c>
      <c r="Q649" s="68" t="s">
        <v>6</v>
      </c>
      <c r="R649" s="68" t="s">
        <v>56</v>
      </c>
      <c r="S649" s="69"/>
      <c r="T649" s="68" t="s">
        <v>55</v>
      </c>
      <c r="U649" s="68" t="s">
        <v>57</v>
      </c>
      <c r="V649" s="68" t="s">
        <v>22</v>
      </c>
      <c r="W649" s="68" t="s">
        <v>21</v>
      </c>
      <c r="X649" s="68" t="s">
        <v>23</v>
      </c>
      <c r="Y649" s="68" t="s">
        <v>61</v>
      </c>
      <c r="Z649" s="70"/>
      <c r="AA649" s="32"/>
    </row>
    <row r="650" spans="1:27" s="29" customFormat="1" ht="21" customHeight="1" x14ac:dyDescent="0.2">
      <c r="A650" s="329"/>
      <c r="D650" s="35"/>
      <c r="E650" s="35"/>
      <c r="F650" s="35"/>
      <c r="G650" s="35"/>
      <c r="H650" s="35"/>
      <c r="J650" s="36" t="s">
        <v>1</v>
      </c>
      <c r="K650" s="37">
        <v>22000</v>
      </c>
      <c r="L650" s="331"/>
      <c r="N650" s="71"/>
      <c r="O650" s="72" t="s">
        <v>47</v>
      </c>
      <c r="P650" s="72">
        <v>31</v>
      </c>
      <c r="Q650" s="72">
        <v>0</v>
      </c>
      <c r="R650" s="72">
        <f>15-Q650</f>
        <v>15</v>
      </c>
      <c r="S650" s="73"/>
      <c r="T650" s="72" t="s">
        <v>47</v>
      </c>
      <c r="U650" s="74">
        <v>10517</v>
      </c>
      <c r="V650" s="74"/>
      <c r="W650" s="74">
        <f>V650+U650</f>
        <v>10517</v>
      </c>
      <c r="X650" s="74">
        <v>1500</v>
      </c>
      <c r="Y650" s="74">
        <f>W650-X650</f>
        <v>9017</v>
      </c>
      <c r="Z650" s="70"/>
    </row>
    <row r="651" spans="1:27" s="29" customFormat="1" ht="21" customHeight="1" x14ac:dyDescent="0.2">
      <c r="A651" s="329"/>
      <c r="B651" s="29" t="s">
        <v>0</v>
      </c>
      <c r="C651" s="40" t="s">
        <v>105</v>
      </c>
      <c r="H651" s="41"/>
      <c r="I651" s="35"/>
      <c r="L651" s="332"/>
      <c r="M651" s="28"/>
      <c r="N651" s="75"/>
      <c r="O651" s="72" t="s">
        <v>73</v>
      </c>
      <c r="P651" s="72">
        <v>28</v>
      </c>
      <c r="Q651" s="72">
        <v>0</v>
      </c>
      <c r="R651" s="72">
        <f t="shared" ref="R651:R661" si="138">IF(Q651="","",R650-Q651)</f>
        <v>15</v>
      </c>
      <c r="S651" s="63"/>
      <c r="T651" s="72" t="s">
        <v>73</v>
      </c>
      <c r="U651" s="109">
        <f t="shared" ref="U651:U656" si="139">Y650</f>
        <v>9017</v>
      </c>
      <c r="V651" s="74"/>
      <c r="W651" s="109">
        <f>IF(U651="","",U651+V651)</f>
        <v>9017</v>
      </c>
      <c r="X651" s="74">
        <v>1500</v>
      </c>
      <c r="Y651" s="109">
        <f>IF(W651="","",W651-X651)</f>
        <v>7517</v>
      </c>
      <c r="Z651" s="76"/>
      <c r="AA651" s="28"/>
    </row>
    <row r="652" spans="1:27" s="29" customFormat="1" ht="21" customHeight="1" x14ac:dyDescent="0.2">
      <c r="A652" s="329"/>
      <c r="B652" s="44" t="s">
        <v>43</v>
      </c>
      <c r="C652" s="45"/>
      <c r="F652" s="468" t="s">
        <v>45</v>
      </c>
      <c r="G652" s="468"/>
      <c r="I652" s="468" t="s">
        <v>46</v>
      </c>
      <c r="J652" s="468"/>
      <c r="K652" s="468"/>
      <c r="L652" s="333"/>
      <c r="N652" s="71"/>
      <c r="O652" s="72" t="s">
        <v>48</v>
      </c>
      <c r="P652" s="72">
        <v>31</v>
      </c>
      <c r="Q652" s="72">
        <v>0</v>
      </c>
      <c r="R652" s="72">
        <f t="shared" si="138"/>
        <v>15</v>
      </c>
      <c r="S652" s="63"/>
      <c r="T652" s="72" t="s">
        <v>48</v>
      </c>
      <c r="U652" s="109">
        <f t="shared" si="139"/>
        <v>7517</v>
      </c>
      <c r="V652" s="74"/>
      <c r="W652" s="109">
        <f t="shared" ref="W652:W661" si="140">IF(U652="","",U652+V652)</f>
        <v>7517</v>
      </c>
      <c r="X652" s="74">
        <v>1500</v>
      </c>
      <c r="Y652" s="109">
        <f t="shared" ref="Y652:Y661" si="141">IF(W652="","",W652-X652)</f>
        <v>6017</v>
      </c>
      <c r="Z652" s="76"/>
    </row>
    <row r="653" spans="1:27" s="29" customFormat="1" ht="21" customHeight="1" x14ac:dyDescent="0.2">
      <c r="A653" s="329"/>
      <c r="H653" s="47"/>
      <c r="L653" s="334"/>
      <c r="N653" s="71"/>
      <c r="O653" s="72" t="s">
        <v>49</v>
      </c>
      <c r="P653" s="72">
        <v>30</v>
      </c>
      <c r="Q653" s="72">
        <v>0</v>
      </c>
      <c r="R653" s="72">
        <f t="shared" si="138"/>
        <v>15</v>
      </c>
      <c r="S653" s="63"/>
      <c r="T653" s="72" t="s">
        <v>49</v>
      </c>
      <c r="U653" s="109">
        <f t="shared" si="139"/>
        <v>6017</v>
      </c>
      <c r="V653" s="74"/>
      <c r="W653" s="109">
        <f t="shared" si="140"/>
        <v>6017</v>
      </c>
      <c r="X653" s="74">
        <v>1500</v>
      </c>
      <c r="Y653" s="109">
        <f t="shared" si="141"/>
        <v>4517</v>
      </c>
      <c r="Z653" s="76"/>
    </row>
    <row r="654" spans="1:27" s="29" customFormat="1" ht="21" customHeight="1" x14ac:dyDescent="0.2">
      <c r="A654" s="329"/>
      <c r="B654" s="472" t="s">
        <v>44</v>
      </c>
      <c r="C654" s="473"/>
      <c r="F654" s="48" t="s">
        <v>66</v>
      </c>
      <c r="G654" s="43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7"/>
      <c r="I654" s="49">
        <f>IF(C658&gt;0,$K$2,C656)</f>
        <v>31</v>
      </c>
      <c r="J654" s="50" t="s">
        <v>63</v>
      </c>
      <c r="K654" s="51">
        <f>K650/$K$2*I654</f>
        <v>22000</v>
      </c>
      <c r="L654" s="335"/>
      <c r="N654" s="71"/>
      <c r="O654" s="72" t="s">
        <v>50</v>
      </c>
      <c r="P654" s="72">
        <v>31</v>
      </c>
      <c r="Q654" s="72">
        <v>0</v>
      </c>
      <c r="R654" s="72">
        <f t="shared" si="138"/>
        <v>15</v>
      </c>
      <c r="S654" s="63"/>
      <c r="T654" s="72" t="s">
        <v>50</v>
      </c>
      <c r="U654" s="109">
        <f t="shared" si="139"/>
        <v>4517</v>
      </c>
      <c r="V654" s="74"/>
      <c r="W654" s="109">
        <f t="shared" si="140"/>
        <v>4517</v>
      </c>
      <c r="X654" s="74">
        <v>1500</v>
      </c>
      <c r="Y654" s="109">
        <f t="shared" si="141"/>
        <v>3017</v>
      </c>
      <c r="Z654" s="76"/>
    </row>
    <row r="655" spans="1:27" s="29" customFormat="1" ht="21" customHeight="1" x14ac:dyDescent="0.2">
      <c r="A655" s="329"/>
      <c r="B655" s="39"/>
      <c r="C655" s="39"/>
      <c r="F655" s="48" t="s">
        <v>22</v>
      </c>
      <c r="G655" s="43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7"/>
      <c r="I655" s="84">
        <v>150</v>
      </c>
      <c r="J655" s="50" t="s">
        <v>64</v>
      </c>
      <c r="K655" s="53">
        <f>K650/$K$2/8*I655</f>
        <v>13306.451612903225</v>
      </c>
      <c r="L655" s="336"/>
      <c r="N655" s="71"/>
      <c r="O655" s="72" t="s">
        <v>51</v>
      </c>
      <c r="P655" s="72">
        <v>30</v>
      </c>
      <c r="Q655" s="72">
        <v>0</v>
      </c>
      <c r="R655" s="72">
        <f t="shared" si="138"/>
        <v>15</v>
      </c>
      <c r="S655" s="63"/>
      <c r="T655" s="72" t="s">
        <v>51</v>
      </c>
      <c r="U655" s="109">
        <f t="shared" si="139"/>
        <v>3017</v>
      </c>
      <c r="V655" s="74"/>
      <c r="W655" s="109">
        <f t="shared" si="140"/>
        <v>3017</v>
      </c>
      <c r="X655" s="74">
        <v>1500</v>
      </c>
      <c r="Y655" s="109">
        <f t="shared" si="141"/>
        <v>1517</v>
      </c>
      <c r="Z655" s="76"/>
    </row>
    <row r="656" spans="1:27" s="29" customFormat="1" ht="21" customHeight="1" x14ac:dyDescent="0.2">
      <c r="A656" s="329"/>
      <c r="B656" s="48" t="s">
        <v>7</v>
      </c>
      <c r="C656" s="39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30</v>
      </c>
      <c r="F656" s="48" t="s">
        <v>67</v>
      </c>
      <c r="G656" s="43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0</v>
      </c>
      <c r="H656" s="47"/>
      <c r="I656" s="456" t="s">
        <v>71</v>
      </c>
      <c r="J656" s="457"/>
      <c r="K656" s="53">
        <f>K654+K655</f>
        <v>35306.451612903227</v>
      </c>
      <c r="L656" s="336"/>
      <c r="N656" s="71"/>
      <c r="O656" s="72" t="s">
        <v>52</v>
      </c>
      <c r="P656" s="72">
        <v>30</v>
      </c>
      <c r="Q656" s="72">
        <v>1</v>
      </c>
      <c r="R656" s="72">
        <f t="shared" si="138"/>
        <v>14</v>
      </c>
      <c r="S656" s="63"/>
      <c r="T656" s="72" t="s">
        <v>52</v>
      </c>
      <c r="U656" s="109">
        <f t="shared" si="139"/>
        <v>1517</v>
      </c>
      <c r="V656" s="74"/>
      <c r="W656" s="109">
        <f t="shared" si="140"/>
        <v>1517</v>
      </c>
      <c r="X656" s="74">
        <v>1517</v>
      </c>
      <c r="Y656" s="109">
        <f t="shared" si="141"/>
        <v>0</v>
      </c>
      <c r="Z656" s="76"/>
    </row>
    <row r="657" spans="1:27" s="29" customFormat="1" ht="21" customHeight="1" x14ac:dyDescent="0.2">
      <c r="A657" s="329"/>
      <c r="B657" s="48" t="s">
        <v>6</v>
      </c>
      <c r="C657" s="39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1</v>
      </c>
      <c r="F657" s="48" t="s">
        <v>23</v>
      </c>
      <c r="G657" s="43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7"/>
      <c r="I657" s="456" t="s">
        <v>72</v>
      </c>
      <c r="J657" s="457"/>
      <c r="K657" s="43">
        <f>G657</f>
        <v>0</v>
      </c>
      <c r="L657" s="337"/>
      <c r="N657" s="71"/>
      <c r="O657" s="72" t="s">
        <v>53</v>
      </c>
      <c r="P657" s="72">
        <v>30</v>
      </c>
      <c r="Q657" s="72">
        <v>1</v>
      </c>
      <c r="R657" s="72">
        <f t="shared" si="138"/>
        <v>13</v>
      </c>
      <c r="S657" s="63"/>
      <c r="T657" s="72" t="s">
        <v>53</v>
      </c>
      <c r="U657" s="109">
        <v>0</v>
      </c>
      <c r="V657" s="74"/>
      <c r="W657" s="109">
        <f t="shared" si="140"/>
        <v>0</v>
      </c>
      <c r="X657" s="74"/>
      <c r="Y657" s="109">
        <f t="shared" si="141"/>
        <v>0</v>
      </c>
      <c r="Z657" s="76"/>
    </row>
    <row r="658" spans="1:27" s="29" customFormat="1" ht="21" customHeight="1" x14ac:dyDescent="0.2">
      <c r="A658" s="329"/>
      <c r="B658" s="56" t="s">
        <v>70</v>
      </c>
      <c r="C658" s="39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12</v>
      </c>
      <c r="F658" s="48" t="s">
        <v>69</v>
      </c>
      <c r="G658" s="43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I658" s="458" t="s">
        <v>65</v>
      </c>
      <c r="J658" s="459"/>
      <c r="K658" s="57">
        <f>K656-K657</f>
        <v>35306.451612903227</v>
      </c>
      <c r="L658" s="338"/>
      <c r="N658" s="71"/>
      <c r="O658" s="72" t="s">
        <v>58</v>
      </c>
      <c r="P658" s="72">
        <v>30</v>
      </c>
      <c r="Q658" s="72">
        <v>0</v>
      </c>
      <c r="R658" s="72">
        <f t="shared" si="138"/>
        <v>13</v>
      </c>
      <c r="S658" s="63"/>
      <c r="T658" s="72" t="s">
        <v>58</v>
      </c>
      <c r="U658" s="109">
        <f>Y657</f>
        <v>0</v>
      </c>
      <c r="V658" s="74"/>
      <c r="W658" s="109">
        <f t="shared" si="140"/>
        <v>0</v>
      </c>
      <c r="X658" s="74"/>
      <c r="Y658" s="109">
        <f t="shared" si="141"/>
        <v>0</v>
      </c>
      <c r="Z658" s="76"/>
    </row>
    <row r="659" spans="1:27" s="29" customFormat="1" ht="21" customHeight="1" x14ac:dyDescent="0.2">
      <c r="A659" s="329"/>
      <c r="K659" s="113"/>
      <c r="L659" s="333"/>
      <c r="N659" s="71"/>
      <c r="O659" s="72" t="s">
        <v>54</v>
      </c>
      <c r="P659" s="72">
        <v>30</v>
      </c>
      <c r="Q659" s="72">
        <v>1</v>
      </c>
      <c r="R659" s="72">
        <f t="shared" si="138"/>
        <v>12</v>
      </c>
      <c r="S659" s="63"/>
      <c r="T659" s="72" t="s">
        <v>54</v>
      </c>
      <c r="U659" s="109">
        <v>0</v>
      </c>
      <c r="V659" s="74"/>
      <c r="W659" s="109">
        <f t="shared" si="140"/>
        <v>0</v>
      </c>
      <c r="X659" s="74"/>
      <c r="Y659" s="109">
        <f t="shared" si="141"/>
        <v>0</v>
      </c>
      <c r="Z659" s="76"/>
    </row>
    <row r="660" spans="1:27" s="29" customFormat="1" ht="21" customHeight="1" x14ac:dyDescent="0.2">
      <c r="A660" s="329"/>
      <c r="B660" s="455" t="s">
        <v>94</v>
      </c>
      <c r="C660" s="455"/>
      <c r="D660" s="455"/>
      <c r="E660" s="455"/>
      <c r="F660" s="455"/>
      <c r="G660" s="455"/>
      <c r="H660" s="455"/>
      <c r="I660" s="455"/>
      <c r="J660" s="455"/>
      <c r="K660" s="455"/>
      <c r="L660" s="333"/>
      <c r="N660" s="71"/>
      <c r="O660" s="72" t="s">
        <v>59</v>
      </c>
      <c r="P660" s="72"/>
      <c r="Q660" s="72"/>
      <c r="R660" s="72" t="str">
        <f t="shared" si="138"/>
        <v/>
      </c>
      <c r="S660" s="63"/>
      <c r="T660" s="72" t="s">
        <v>59</v>
      </c>
      <c r="U660" s="109"/>
      <c r="V660" s="74"/>
      <c r="W660" s="109" t="str">
        <f t="shared" si="140"/>
        <v/>
      </c>
      <c r="X660" s="74"/>
      <c r="Y660" s="109" t="str">
        <f t="shared" si="141"/>
        <v/>
      </c>
      <c r="Z660" s="76"/>
    </row>
    <row r="661" spans="1:27" s="29" customFormat="1" ht="21" customHeight="1" x14ac:dyDescent="0.2">
      <c r="A661" s="329"/>
      <c r="B661" s="455"/>
      <c r="C661" s="455"/>
      <c r="D661" s="455"/>
      <c r="E661" s="455"/>
      <c r="F661" s="455"/>
      <c r="G661" s="455"/>
      <c r="H661" s="455"/>
      <c r="I661" s="455"/>
      <c r="J661" s="455"/>
      <c r="K661" s="455"/>
      <c r="L661" s="333"/>
      <c r="N661" s="71"/>
      <c r="O661" s="72" t="s">
        <v>60</v>
      </c>
      <c r="P661" s="72"/>
      <c r="Q661" s="72"/>
      <c r="R661" s="72" t="str">
        <f t="shared" si="138"/>
        <v/>
      </c>
      <c r="S661" s="63"/>
      <c r="T661" s="72" t="s">
        <v>60</v>
      </c>
      <c r="U661" s="109"/>
      <c r="V661" s="74"/>
      <c r="W661" s="109" t="str">
        <f t="shared" si="140"/>
        <v/>
      </c>
      <c r="X661" s="74"/>
      <c r="Y661" s="109" t="str">
        <f t="shared" si="141"/>
        <v/>
      </c>
      <c r="Z661" s="76"/>
    </row>
    <row r="662" spans="1:27" s="29" customFormat="1" ht="21" customHeight="1" thickBot="1" x14ac:dyDescent="0.25">
      <c r="A662" s="339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340"/>
      <c r="N662" s="77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9"/>
    </row>
    <row r="663" spans="1:27" s="29" customFormat="1" ht="21" hidden="1" customHeight="1" x14ac:dyDescent="0.2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N663" s="71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85"/>
    </row>
    <row r="664" spans="1:27" s="29" customFormat="1" ht="21.4" hidden="1" customHeight="1" x14ac:dyDescent="0.2">
      <c r="A664" s="514" t="s">
        <v>42</v>
      </c>
      <c r="B664" s="515"/>
      <c r="C664" s="515"/>
      <c r="D664" s="515"/>
      <c r="E664" s="515"/>
      <c r="F664" s="515"/>
      <c r="G664" s="515"/>
      <c r="H664" s="515"/>
      <c r="I664" s="515"/>
      <c r="J664" s="515"/>
      <c r="K664" s="515"/>
      <c r="L664" s="516"/>
      <c r="M664" s="28"/>
      <c r="N664" s="64"/>
      <c r="O664" s="469" t="s">
        <v>44</v>
      </c>
      <c r="P664" s="470"/>
      <c r="Q664" s="470"/>
      <c r="R664" s="471"/>
      <c r="S664" s="65"/>
      <c r="T664" s="469" t="s">
        <v>45</v>
      </c>
      <c r="U664" s="470"/>
      <c r="V664" s="470"/>
      <c r="W664" s="470"/>
      <c r="X664" s="470"/>
      <c r="Y664" s="471"/>
      <c r="Z664" s="66"/>
      <c r="AA664" s="28"/>
    </row>
    <row r="665" spans="1:27" s="29" customFormat="1" ht="21.4" hidden="1" customHeight="1" x14ac:dyDescent="0.2">
      <c r="A665" s="30"/>
      <c r="C665" s="466" t="s">
        <v>92</v>
      </c>
      <c r="D665" s="466"/>
      <c r="E665" s="466"/>
      <c r="F665" s="466"/>
      <c r="G665" s="31" t="str">
        <f>$J$1</f>
        <v>October</v>
      </c>
      <c r="H665" s="467">
        <f>$K$1</f>
        <v>2022</v>
      </c>
      <c r="I665" s="467"/>
      <c r="K665" s="32"/>
      <c r="L665" s="33"/>
      <c r="M665" s="32"/>
      <c r="N665" s="67"/>
      <c r="O665" s="68" t="s">
        <v>55</v>
      </c>
      <c r="P665" s="68" t="s">
        <v>7</v>
      </c>
      <c r="Q665" s="68" t="s">
        <v>6</v>
      </c>
      <c r="R665" s="68" t="s">
        <v>56</v>
      </c>
      <c r="S665" s="69"/>
      <c r="T665" s="68" t="s">
        <v>55</v>
      </c>
      <c r="U665" s="68" t="s">
        <v>57</v>
      </c>
      <c r="V665" s="68" t="s">
        <v>22</v>
      </c>
      <c r="W665" s="68" t="s">
        <v>21</v>
      </c>
      <c r="X665" s="68" t="s">
        <v>23</v>
      </c>
      <c r="Y665" s="68" t="s">
        <v>61</v>
      </c>
      <c r="Z665" s="70"/>
      <c r="AA665" s="32"/>
    </row>
    <row r="666" spans="1:27" s="29" customFormat="1" ht="21.4" hidden="1" customHeight="1" x14ac:dyDescent="0.2">
      <c r="A666" s="30"/>
      <c r="D666" s="35"/>
      <c r="E666" s="35"/>
      <c r="F666" s="35"/>
      <c r="G666" s="35"/>
      <c r="H666" s="35"/>
      <c r="J666" s="36" t="s">
        <v>1</v>
      </c>
      <c r="K666" s="37"/>
      <c r="L666" s="38"/>
      <c r="N666" s="71"/>
      <c r="O666" s="72" t="s">
        <v>47</v>
      </c>
      <c r="P666" s="72"/>
      <c r="Q666" s="72"/>
      <c r="R666" s="72">
        <v>0</v>
      </c>
      <c r="S666" s="73"/>
      <c r="T666" s="72" t="s">
        <v>47</v>
      </c>
      <c r="U666" s="74"/>
      <c r="V666" s="74"/>
      <c r="W666" s="74">
        <f>V666+U666</f>
        <v>0</v>
      </c>
      <c r="X666" s="74"/>
      <c r="Y666" s="74">
        <f>W666-X666</f>
        <v>0</v>
      </c>
      <c r="Z666" s="70"/>
    </row>
    <row r="667" spans="1:27" s="29" customFormat="1" ht="21.4" hidden="1" customHeight="1" x14ac:dyDescent="0.2">
      <c r="A667" s="30"/>
      <c r="B667" s="29" t="s">
        <v>0</v>
      </c>
      <c r="C667" s="40"/>
      <c r="H667" s="41"/>
      <c r="I667" s="35"/>
      <c r="L667" s="42"/>
      <c r="M667" s="28"/>
      <c r="N667" s="75"/>
      <c r="O667" s="72" t="s">
        <v>73</v>
      </c>
      <c r="P667" s="72"/>
      <c r="Q667" s="72"/>
      <c r="R667" s="72" t="str">
        <f>IF(Q667="","",R666-Q667)</f>
        <v/>
      </c>
      <c r="S667" s="63"/>
      <c r="T667" s="72" t="s">
        <v>73</v>
      </c>
      <c r="U667" s="109">
        <f>IF($J$1="January","",Y666)</f>
        <v>0</v>
      </c>
      <c r="V667" s="74"/>
      <c r="W667" s="109">
        <f>IF(U667="","",U667+V667)</f>
        <v>0</v>
      </c>
      <c r="X667" s="74"/>
      <c r="Y667" s="109">
        <f>IF(W667="","",W667-X667)</f>
        <v>0</v>
      </c>
      <c r="Z667" s="76"/>
      <c r="AA667" s="28"/>
    </row>
    <row r="668" spans="1:27" s="29" customFormat="1" ht="21.4" hidden="1" customHeight="1" x14ac:dyDescent="0.2">
      <c r="A668" s="30"/>
      <c r="B668" s="44" t="s">
        <v>43</v>
      </c>
      <c r="C668" s="45"/>
      <c r="F668" s="468" t="s">
        <v>45</v>
      </c>
      <c r="G668" s="468"/>
      <c r="I668" s="468" t="s">
        <v>46</v>
      </c>
      <c r="J668" s="468"/>
      <c r="K668" s="468"/>
      <c r="L668" s="46"/>
      <c r="N668" s="71"/>
      <c r="O668" s="72" t="s">
        <v>48</v>
      </c>
      <c r="P668" s="72"/>
      <c r="Q668" s="72"/>
      <c r="R668" s="72" t="str">
        <f>IF(Q668="","",R667-Q668)</f>
        <v/>
      </c>
      <c r="S668" s="63"/>
      <c r="T668" s="72" t="s">
        <v>48</v>
      </c>
      <c r="U668" s="109">
        <f>IF($J$1="February","",Y667)</f>
        <v>0</v>
      </c>
      <c r="V668" s="74"/>
      <c r="W668" s="109">
        <f t="shared" ref="W668:W677" si="142">IF(U668="","",U668+V668)</f>
        <v>0</v>
      </c>
      <c r="X668" s="74"/>
      <c r="Y668" s="109">
        <f t="shared" ref="Y668:Y677" si="143">IF(W668="","",W668-X668)</f>
        <v>0</v>
      </c>
      <c r="Z668" s="76"/>
    </row>
    <row r="669" spans="1:27" s="29" customFormat="1" ht="21.4" hidden="1" customHeight="1" x14ac:dyDescent="0.2">
      <c r="A669" s="30"/>
      <c r="H669" s="47"/>
      <c r="L669" s="34"/>
      <c r="N669" s="71"/>
      <c r="O669" s="72" t="s">
        <v>49</v>
      </c>
      <c r="P669" s="72"/>
      <c r="Q669" s="72"/>
      <c r="R669" s="72" t="str">
        <f t="shared" ref="R669:R670" si="144">IF(Q669="","",R668-Q669)</f>
        <v/>
      </c>
      <c r="S669" s="63"/>
      <c r="T669" s="72" t="s">
        <v>49</v>
      </c>
      <c r="U669" s="109">
        <f>IF($J$1="March","",Y668)</f>
        <v>0</v>
      </c>
      <c r="V669" s="74"/>
      <c r="W669" s="109">
        <f t="shared" si="142"/>
        <v>0</v>
      </c>
      <c r="X669" s="74"/>
      <c r="Y669" s="109">
        <f t="shared" si="143"/>
        <v>0</v>
      </c>
      <c r="Z669" s="76"/>
    </row>
    <row r="670" spans="1:27" s="29" customFormat="1" ht="21.4" hidden="1" customHeight="1" x14ac:dyDescent="0.2">
      <c r="A670" s="30"/>
      <c r="B670" s="472" t="s">
        <v>44</v>
      </c>
      <c r="C670" s="473"/>
      <c r="F670" s="48" t="s">
        <v>66</v>
      </c>
      <c r="G670" s="115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47"/>
      <c r="I670" s="49"/>
      <c r="J670" s="50" t="s">
        <v>63</v>
      </c>
      <c r="K670" s="51">
        <f>K666/$K$2*I670</f>
        <v>0</v>
      </c>
      <c r="L670" s="52"/>
      <c r="N670" s="71"/>
      <c r="O670" s="72" t="s">
        <v>50</v>
      </c>
      <c r="P670" s="72"/>
      <c r="Q670" s="72"/>
      <c r="R670" s="72" t="str">
        <f t="shared" si="144"/>
        <v/>
      </c>
      <c r="S670" s="63"/>
      <c r="T670" s="72" t="s">
        <v>50</v>
      </c>
      <c r="U670" s="109">
        <f>IF($J$1="April","",Y669)</f>
        <v>0</v>
      </c>
      <c r="V670" s="74"/>
      <c r="W670" s="109">
        <f t="shared" si="142"/>
        <v>0</v>
      </c>
      <c r="X670" s="74"/>
      <c r="Y670" s="109">
        <f t="shared" si="143"/>
        <v>0</v>
      </c>
      <c r="Z670" s="76"/>
    </row>
    <row r="671" spans="1:27" s="29" customFormat="1" ht="21.4" hidden="1" customHeight="1" x14ac:dyDescent="0.2">
      <c r="A671" s="30"/>
      <c r="B671" s="39"/>
      <c r="C671" s="39"/>
      <c r="F671" s="48" t="s">
        <v>22</v>
      </c>
      <c r="G671" s="115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7"/>
      <c r="I671" s="84"/>
      <c r="J671" s="50" t="s">
        <v>64</v>
      </c>
      <c r="K671" s="53">
        <f>K666/$K$2/8*I671</f>
        <v>0</v>
      </c>
      <c r="L671" s="54"/>
      <c r="N671" s="71"/>
      <c r="O671" s="72" t="s">
        <v>51</v>
      </c>
      <c r="P671" s="72"/>
      <c r="Q671" s="72"/>
      <c r="R671" s="72">
        <v>0</v>
      </c>
      <c r="S671" s="63"/>
      <c r="T671" s="72" t="s">
        <v>51</v>
      </c>
      <c r="U671" s="109">
        <f>IF($J$1="May","",Y670)</f>
        <v>0</v>
      </c>
      <c r="V671" s="74"/>
      <c r="W671" s="109">
        <f t="shared" si="142"/>
        <v>0</v>
      </c>
      <c r="X671" s="74"/>
      <c r="Y671" s="109">
        <f t="shared" si="143"/>
        <v>0</v>
      </c>
      <c r="Z671" s="76"/>
    </row>
    <row r="672" spans="1:27" s="29" customFormat="1" ht="21.4" hidden="1" customHeight="1" x14ac:dyDescent="0.2">
      <c r="A672" s="30"/>
      <c r="B672" s="48" t="s">
        <v>7</v>
      </c>
      <c r="C672" s="39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F672" s="48" t="s">
        <v>67</v>
      </c>
      <c r="G672" s="115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47"/>
      <c r="I672" s="456" t="s">
        <v>71</v>
      </c>
      <c r="J672" s="457"/>
      <c r="K672" s="53">
        <f>K670+K671</f>
        <v>0</v>
      </c>
      <c r="L672" s="54"/>
      <c r="N672" s="71"/>
      <c r="O672" s="72" t="s">
        <v>52</v>
      </c>
      <c r="P672" s="72"/>
      <c r="Q672" s="72"/>
      <c r="R672" s="72">
        <v>0</v>
      </c>
      <c r="S672" s="63"/>
      <c r="T672" s="72" t="s">
        <v>52</v>
      </c>
      <c r="U672" s="109">
        <f>IF($J$1="June","",Y671)</f>
        <v>0</v>
      </c>
      <c r="V672" s="74"/>
      <c r="W672" s="109">
        <f t="shared" si="142"/>
        <v>0</v>
      </c>
      <c r="X672" s="74"/>
      <c r="Y672" s="109">
        <f t="shared" si="143"/>
        <v>0</v>
      </c>
      <c r="Z672" s="76"/>
    </row>
    <row r="673" spans="1:27" s="29" customFormat="1" ht="21.4" hidden="1" customHeight="1" x14ac:dyDescent="0.2">
      <c r="A673" s="30"/>
      <c r="B673" s="48" t="s">
        <v>6</v>
      </c>
      <c r="C673" s="39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F673" s="48" t="s">
        <v>23</v>
      </c>
      <c r="G673" s="115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7"/>
      <c r="I673" s="456" t="s">
        <v>72</v>
      </c>
      <c r="J673" s="457"/>
      <c r="K673" s="43">
        <f>G673</f>
        <v>0</v>
      </c>
      <c r="L673" s="55"/>
      <c r="N673" s="71"/>
      <c r="O673" s="72" t="s">
        <v>53</v>
      </c>
      <c r="P673" s="72"/>
      <c r="Q673" s="72"/>
      <c r="R673" s="72">
        <v>0</v>
      </c>
      <c r="S673" s="63"/>
      <c r="T673" s="72" t="s">
        <v>53</v>
      </c>
      <c r="U673" s="109">
        <f>IF($J$1="July","",Y672)</f>
        <v>0</v>
      </c>
      <c r="V673" s="74"/>
      <c r="W673" s="109">
        <f t="shared" si="142"/>
        <v>0</v>
      </c>
      <c r="X673" s="74"/>
      <c r="Y673" s="109">
        <f t="shared" si="143"/>
        <v>0</v>
      </c>
      <c r="Z673" s="76"/>
    </row>
    <row r="674" spans="1:27" s="29" customFormat="1" ht="21.4" hidden="1" customHeight="1" x14ac:dyDescent="0.2">
      <c r="A674" s="30"/>
      <c r="B674" s="56" t="s">
        <v>70</v>
      </c>
      <c r="C674" s="39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0</v>
      </c>
      <c r="F674" s="48" t="s">
        <v>69</v>
      </c>
      <c r="G674" s="115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I674" s="458" t="s">
        <v>65</v>
      </c>
      <c r="J674" s="459"/>
      <c r="K674" s="57">
        <f>K672-K673</f>
        <v>0</v>
      </c>
      <c r="L674" s="58"/>
      <c r="N674" s="71"/>
      <c r="O674" s="72" t="s">
        <v>58</v>
      </c>
      <c r="P674" s="72"/>
      <c r="Q674" s="72"/>
      <c r="R674" s="72">
        <v>0</v>
      </c>
      <c r="S674" s="63"/>
      <c r="T674" s="72" t="s">
        <v>58</v>
      </c>
      <c r="U674" s="109">
        <f>IF($J$1="August","",Y673)</f>
        <v>0</v>
      </c>
      <c r="V674" s="74"/>
      <c r="W674" s="109">
        <f t="shared" si="142"/>
        <v>0</v>
      </c>
      <c r="X674" s="74"/>
      <c r="Y674" s="109">
        <f t="shared" si="143"/>
        <v>0</v>
      </c>
      <c r="Z674" s="76"/>
    </row>
    <row r="675" spans="1:27" s="29" customFormat="1" ht="21.4" hidden="1" customHeight="1" x14ac:dyDescent="0.2">
      <c r="A675" s="30"/>
      <c r="L675" s="46"/>
      <c r="N675" s="71"/>
      <c r="O675" s="72" t="s">
        <v>54</v>
      </c>
      <c r="P675" s="72"/>
      <c r="Q675" s="72"/>
      <c r="R675" s="72">
        <v>0</v>
      </c>
      <c r="S675" s="63"/>
      <c r="T675" s="72" t="s">
        <v>54</v>
      </c>
      <c r="U675" s="109">
        <f>IF($J$1="September","",Y674)</f>
        <v>0</v>
      </c>
      <c r="V675" s="74"/>
      <c r="W675" s="109">
        <f t="shared" si="142"/>
        <v>0</v>
      </c>
      <c r="X675" s="74"/>
      <c r="Y675" s="109">
        <f t="shared" si="143"/>
        <v>0</v>
      </c>
      <c r="Z675" s="76"/>
    </row>
    <row r="676" spans="1:27" s="29" customFormat="1" ht="21.4" hidden="1" customHeight="1" x14ac:dyDescent="0.2">
      <c r="A676" s="30"/>
      <c r="B676" s="455" t="s">
        <v>94</v>
      </c>
      <c r="C676" s="455"/>
      <c r="D676" s="455"/>
      <c r="E676" s="455"/>
      <c r="F676" s="455"/>
      <c r="G676" s="455"/>
      <c r="H676" s="455"/>
      <c r="I676" s="455"/>
      <c r="J676" s="455"/>
      <c r="K676" s="455"/>
      <c r="L676" s="46"/>
      <c r="N676" s="71"/>
      <c r="O676" s="72" t="s">
        <v>59</v>
      </c>
      <c r="P676" s="72"/>
      <c r="Q676" s="72"/>
      <c r="R676" s="72">
        <v>0</v>
      </c>
      <c r="S676" s="63"/>
      <c r="T676" s="72" t="s">
        <v>59</v>
      </c>
      <c r="U676" s="109" t="str">
        <f>IF($J$1="October","",Y675)</f>
        <v/>
      </c>
      <c r="V676" s="74"/>
      <c r="W676" s="109" t="str">
        <f t="shared" si="142"/>
        <v/>
      </c>
      <c r="X676" s="74"/>
      <c r="Y676" s="109" t="str">
        <f t="shared" si="143"/>
        <v/>
      </c>
      <c r="Z676" s="76"/>
    </row>
    <row r="677" spans="1:27" s="29" customFormat="1" ht="21.4" hidden="1" customHeight="1" x14ac:dyDescent="0.2">
      <c r="A677" s="30"/>
      <c r="B677" s="455"/>
      <c r="C677" s="455"/>
      <c r="D677" s="455"/>
      <c r="E677" s="455"/>
      <c r="F677" s="455"/>
      <c r="G677" s="455"/>
      <c r="H677" s="455"/>
      <c r="I677" s="455"/>
      <c r="J677" s="455"/>
      <c r="K677" s="455"/>
      <c r="L677" s="46"/>
      <c r="N677" s="71"/>
      <c r="O677" s="72" t="s">
        <v>60</v>
      </c>
      <c r="P677" s="72"/>
      <c r="Q677" s="72"/>
      <c r="R677" s="72">
        <v>0</v>
      </c>
      <c r="S677" s="63"/>
      <c r="T677" s="72" t="s">
        <v>60</v>
      </c>
      <c r="U677" s="109" t="str">
        <f>IF($J$1="November","",Y676)</f>
        <v/>
      </c>
      <c r="V677" s="74"/>
      <c r="W677" s="109" t="str">
        <f t="shared" si="142"/>
        <v/>
      </c>
      <c r="X677" s="74"/>
      <c r="Y677" s="109" t="str">
        <f t="shared" si="143"/>
        <v/>
      </c>
      <c r="Z677" s="76"/>
    </row>
    <row r="678" spans="1:27" s="29" customFormat="1" ht="21.4" hidden="1" customHeight="1" thickBot="1" x14ac:dyDescent="0.25">
      <c r="A678" s="5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1"/>
      <c r="N678" s="77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9"/>
    </row>
    <row r="679" spans="1:27" s="29" customFormat="1" ht="21" customHeight="1" thickBot="1" x14ac:dyDescent="0.25"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7" s="29" customFormat="1" ht="21" customHeight="1" x14ac:dyDescent="0.2">
      <c r="A680" s="474" t="s">
        <v>42</v>
      </c>
      <c r="B680" s="475"/>
      <c r="C680" s="475"/>
      <c r="D680" s="475"/>
      <c r="E680" s="475"/>
      <c r="F680" s="475"/>
      <c r="G680" s="475"/>
      <c r="H680" s="475"/>
      <c r="I680" s="475"/>
      <c r="J680" s="475"/>
      <c r="K680" s="475"/>
      <c r="L680" s="476"/>
      <c r="M680" s="28"/>
      <c r="N680" s="64"/>
      <c r="O680" s="469" t="s">
        <v>44</v>
      </c>
      <c r="P680" s="470"/>
      <c r="Q680" s="470"/>
      <c r="R680" s="471"/>
      <c r="S680" s="65"/>
      <c r="T680" s="469" t="s">
        <v>45</v>
      </c>
      <c r="U680" s="470"/>
      <c r="V680" s="470"/>
      <c r="W680" s="470"/>
      <c r="X680" s="470"/>
      <c r="Y680" s="471"/>
      <c r="Z680" s="66"/>
      <c r="AA680" s="28"/>
    </row>
    <row r="681" spans="1:27" s="29" customFormat="1" ht="21" customHeight="1" x14ac:dyDescent="0.2">
      <c r="A681" s="30"/>
      <c r="C681" s="466" t="s">
        <v>92</v>
      </c>
      <c r="D681" s="466"/>
      <c r="E681" s="466"/>
      <c r="F681" s="466"/>
      <c r="G681" s="31" t="str">
        <f>$J$1</f>
        <v>October</v>
      </c>
      <c r="H681" s="467">
        <f>$K$1</f>
        <v>2022</v>
      </c>
      <c r="I681" s="467"/>
      <c r="K681" s="32"/>
      <c r="L681" s="33"/>
      <c r="M681" s="32"/>
      <c r="N681" s="67"/>
      <c r="O681" s="68" t="s">
        <v>55</v>
      </c>
      <c r="P681" s="68" t="s">
        <v>7</v>
      </c>
      <c r="Q681" s="68" t="s">
        <v>6</v>
      </c>
      <c r="R681" s="68" t="s">
        <v>56</v>
      </c>
      <c r="S681" s="69"/>
      <c r="T681" s="68" t="s">
        <v>55</v>
      </c>
      <c r="U681" s="68" t="s">
        <v>57</v>
      </c>
      <c r="V681" s="68" t="s">
        <v>22</v>
      </c>
      <c r="W681" s="68" t="s">
        <v>21</v>
      </c>
      <c r="X681" s="68" t="s">
        <v>23</v>
      </c>
      <c r="Y681" s="68" t="s">
        <v>61</v>
      </c>
      <c r="Z681" s="70"/>
      <c r="AA681" s="32"/>
    </row>
    <row r="682" spans="1:27" s="29" customFormat="1" ht="21" customHeight="1" x14ac:dyDescent="0.2">
      <c r="A682" s="30"/>
      <c r="D682" s="35"/>
      <c r="E682" s="35"/>
      <c r="F682" s="35"/>
      <c r="G682" s="35"/>
      <c r="H682" s="35"/>
      <c r="J682" s="36" t="s">
        <v>1</v>
      </c>
      <c r="K682" s="37">
        <v>20000</v>
      </c>
      <c r="L682" s="38"/>
      <c r="N682" s="71"/>
      <c r="O682" s="72" t="s">
        <v>47</v>
      </c>
      <c r="P682" s="72">
        <v>30</v>
      </c>
      <c r="Q682" s="72">
        <v>1</v>
      </c>
      <c r="R682" s="72">
        <f>15-Q682</f>
        <v>14</v>
      </c>
      <c r="S682" s="73"/>
      <c r="T682" s="72" t="s">
        <v>47</v>
      </c>
      <c r="U682" s="74">
        <v>10000</v>
      </c>
      <c r="V682" s="74"/>
      <c r="W682" s="74">
        <f>V682+U682</f>
        <v>10000</v>
      </c>
      <c r="X682" s="74">
        <v>4000</v>
      </c>
      <c r="Y682" s="74">
        <f>W682-X682</f>
        <v>6000</v>
      </c>
      <c r="Z682" s="70"/>
    </row>
    <row r="683" spans="1:27" s="29" customFormat="1" ht="21" customHeight="1" x14ac:dyDescent="0.2">
      <c r="A683" s="30"/>
      <c r="B683" s="29" t="s">
        <v>0</v>
      </c>
      <c r="C683" s="40" t="s">
        <v>83</v>
      </c>
      <c r="H683" s="41"/>
      <c r="I683" s="35"/>
      <c r="L683" s="42"/>
      <c r="M683" s="28"/>
      <c r="N683" s="75"/>
      <c r="O683" s="72" t="s">
        <v>73</v>
      </c>
      <c r="P683" s="72">
        <v>27</v>
      </c>
      <c r="Q683" s="72">
        <v>1</v>
      </c>
      <c r="R683" s="72">
        <f t="shared" ref="R683:R693" si="145">IF(Q683="","",R682-Q683)</f>
        <v>13</v>
      </c>
      <c r="S683" s="63"/>
      <c r="T683" s="72" t="s">
        <v>73</v>
      </c>
      <c r="U683" s="109">
        <f t="shared" ref="U683:U688" si="146">Y682</f>
        <v>6000</v>
      </c>
      <c r="V683" s="74"/>
      <c r="W683" s="109">
        <f>IF(U683="","",U683+V683)</f>
        <v>6000</v>
      </c>
      <c r="X683" s="74">
        <v>4000</v>
      </c>
      <c r="Y683" s="74">
        <f>W683-X683</f>
        <v>2000</v>
      </c>
      <c r="Z683" s="76"/>
      <c r="AA683" s="28"/>
    </row>
    <row r="684" spans="1:27" s="29" customFormat="1" ht="21" customHeight="1" x14ac:dyDescent="0.2">
      <c r="A684" s="30"/>
      <c r="B684" s="44" t="s">
        <v>43</v>
      </c>
      <c r="C684" s="45"/>
      <c r="F684" s="468" t="s">
        <v>45</v>
      </c>
      <c r="G684" s="468"/>
      <c r="I684" s="468" t="s">
        <v>46</v>
      </c>
      <c r="J684" s="468"/>
      <c r="K684" s="468"/>
      <c r="L684" s="46"/>
      <c r="N684" s="71"/>
      <c r="O684" s="72" t="s">
        <v>48</v>
      </c>
      <c r="P684" s="72">
        <v>30</v>
      </c>
      <c r="Q684" s="72">
        <v>1</v>
      </c>
      <c r="R684" s="72">
        <f t="shared" si="145"/>
        <v>12</v>
      </c>
      <c r="S684" s="63"/>
      <c r="T684" s="72" t="s">
        <v>48</v>
      </c>
      <c r="U684" s="109">
        <f t="shared" si="146"/>
        <v>2000</v>
      </c>
      <c r="V684" s="74"/>
      <c r="W684" s="109">
        <f t="shared" ref="W684:W693" si="147">IF(U684="","",U684+V684)</f>
        <v>2000</v>
      </c>
      <c r="X684" s="74">
        <v>2000</v>
      </c>
      <c r="Y684" s="109">
        <f t="shared" ref="Y684:Y693" si="148">IF(W684="","",W684-X684)</f>
        <v>0</v>
      </c>
      <c r="Z684" s="76"/>
    </row>
    <row r="685" spans="1:27" s="29" customFormat="1" ht="21" customHeight="1" x14ac:dyDescent="0.2">
      <c r="A685" s="30"/>
      <c r="H685" s="47"/>
      <c r="L685" s="34"/>
      <c r="N685" s="71"/>
      <c r="O685" s="72" t="s">
        <v>49</v>
      </c>
      <c r="P685" s="72">
        <v>29</v>
      </c>
      <c r="Q685" s="72">
        <v>1</v>
      </c>
      <c r="R685" s="72">
        <f t="shared" si="145"/>
        <v>11</v>
      </c>
      <c r="S685" s="63"/>
      <c r="T685" s="72" t="s">
        <v>49</v>
      </c>
      <c r="U685" s="109">
        <f t="shared" si="146"/>
        <v>0</v>
      </c>
      <c r="V685" s="74"/>
      <c r="W685" s="109">
        <f t="shared" si="147"/>
        <v>0</v>
      </c>
      <c r="X685" s="74"/>
      <c r="Y685" s="109">
        <f t="shared" si="148"/>
        <v>0</v>
      </c>
      <c r="Z685" s="76"/>
    </row>
    <row r="686" spans="1:27" s="29" customFormat="1" ht="21" customHeight="1" x14ac:dyDescent="0.2">
      <c r="A686" s="30"/>
      <c r="B686" s="472" t="s">
        <v>44</v>
      </c>
      <c r="C686" s="473"/>
      <c r="F686" s="48" t="s">
        <v>66</v>
      </c>
      <c r="G686" s="115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5000</v>
      </c>
      <c r="H686" s="47"/>
      <c r="I686" s="49">
        <f>IF(C690&gt;0,$K$2,C688)</f>
        <v>31</v>
      </c>
      <c r="J686" s="50" t="s">
        <v>63</v>
      </c>
      <c r="K686" s="51">
        <f>K682/$K$2*I686</f>
        <v>20000</v>
      </c>
      <c r="L686" s="52"/>
      <c r="N686" s="71"/>
      <c r="O686" s="72" t="s">
        <v>50</v>
      </c>
      <c r="P686" s="72">
        <v>30</v>
      </c>
      <c r="Q686" s="72">
        <v>1</v>
      </c>
      <c r="R686" s="72">
        <f t="shared" si="145"/>
        <v>10</v>
      </c>
      <c r="S686" s="63"/>
      <c r="T686" s="72" t="s">
        <v>50</v>
      </c>
      <c r="U686" s="109">
        <f t="shared" si="146"/>
        <v>0</v>
      </c>
      <c r="V686" s="74">
        <v>15000</v>
      </c>
      <c r="W686" s="109">
        <f t="shared" si="147"/>
        <v>15000</v>
      </c>
      <c r="X686" s="74">
        <v>2000</v>
      </c>
      <c r="Y686" s="109">
        <f t="shared" si="148"/>
        <v>13000</v>
      </c>
      <c r="Z686" s="76"/>
    </row>
    <row r="687" spans="1:27" s="29" customFormat="1" ht="21" customHeight="1" x14ac:dyDescent="0.2">
      <c r="A687" s="30"/>
      <c r="B687" s="39"/>
      <c r="C687" s="39"/>
      <c r="F687" s="48" t="s">
        <v>22</v>
      </c>
      <c r="G687" s="115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7"/>
      <c r="I687" s="84">
        <v>16</v>
      </c>
      <c r="J687" s="50" t="s">
        <v>64</v>
      </c>
      <c r="K687" s="53">
        <f>K682/$K$2/8*I687</f>
        <v>1290.3225806451612</v>
      </c>
      <c r="L687" s="54"/>
      <c r="N687" s="71"/>
      <c r="O687" s="72" t="s">
        <v>51</v>
      </c>
      <c r="P687" s="72">
        <v>28</v>
      </c>
      <c r="Q687" s="72">
        <v>2</v>
      </c>
      <c r="R687" s="72">
        <f t="shared" si="145"/>
        <v>8</v>
      </c>
      <c r="S687" s="63"/>
      <c r="T687" s="72" t="s">
        <v>51</v>
      </c>
      <c r="U687" s="109">
        <f t="shared" si="146"/>
        <v>13000</v>
      </c>
      <c r="V687" s="74"/>
      <c r="W687" s="109">
        <f t="shared" si="147"/>
        <v>13000</v>
      </c>
      <c r="X687" s="74">
        <v>2000</v>
      </c>
      <c r="Y687" s="109">
        <f t="shared" si="148"/>
        <v>11000</v>
      </c>
      <c r="Z687" s="76"/>
    </row>
    <row r="688" spans="1:27" s="29" customFormat="1" ht="21" customHeight="1" x14ac:dyDescent="0.2">
      <c r="A688" s="30"/>
      <c r="B688" s="48" t="s">
        <v>7</v>
      </c>
      <c r="C688" s="39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30</v>
      </c>
      <c r="F688" s="48" t="s">
        <v>67</v>
      </c>
      <c r="G688" s="115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5000</v>
      </c>
      <c r="H688" s="47"/>
      <c r="I688" s="456" t="s">
        <v>71</v>
      </c>
      <c r="J688" s="457"/>
      <c r="K688" s="53">
        <f>K686+K687</f>
        <v>21290.322580645163</v>
      </c>
      <c r="L688" s="54"/>
      <c r="N688" s="71"/>
      <c r="O688" s="72" t="s">
        <v>52</v>
      </c>
      <c r="P688" s="72">
        <v>30</v>
      </c>
      <c r="Q688" s="72">
        <v>1</v>
      </c>
      <c r="R688" s="72">
        <f t="shared" si="145"/>
        <v>7</v>
      </c>
      <c r="S688" s="63"/>
      <c r="T688" s="72" t="s">
        <v>52</v>
      </c>
      <c r="U688" s="109">
        <f t="shared" si="146"/>
        <v>11000</v>
      </c>
      <c r="V688" s="74"/>
      <c r="W688" s="109">
        <f t="shared" si="147"/>
        <v>11000</v>
      </c>
      <c r="X688" s="74">
        <v>2000</v>
      </c>
      <c r="Y688" s="109">
        <f t="shared" si="148"/>
        <v>9000</v>
      </c>
      <c r="Z688" s="76"/>
    </row>
    <row r="689" spans="1:27" s="29" customFormat="1" ht="21" customHeight="1" x14ac:dyDescent="0.2">
      <c r="A689" s="30"/>
      <c r="B689" s="48" t="s">
        <v>6</v>
      </c>
      <c r="C689" s="39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1</v>
      </c>
      <c r="F689" s="48" t="s">
        <v>23</v>
      </c>
      <c r="G689" s="115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2000</v>
      </c>
      <c r="H689" s="47"/>
      <c r="I689" s="456" t="s">
        <v>72</v>
      </c>
      <c r="J689" s="457"/>
      <c r="K689" s="43">
        <f>G689</f>
        <v>2000</v>
      </c>
      <c r="L689" s="55"/>
      <c r="N689" s="71"/>
      <c r="O689" s="72" t="s">
        <v>53</v>
      </c>
      <c r="P689" s="72">
        <v>29</v>
      </c>
      <c r="Q689" s="72">
        <v>2</v>
      </c>
      <c r="R689" s="72">
        <f t="shared" si="145"/>
        <v>5</v>
      </c>
      <c r="S689" s="63"/>
      <c r="T689" s="72" t="s">
        <v>53</v>
      </c>
      <c r="U689" s="109">
        <f>Y688</f>
        <v>9000</v>
      </c>
      <c r="V689" s="74"/>
      <c r="W689" s="109">
        <f t="shared" si="147"/>
        <v>9000</v>
      </c>
      <c r="X689" s="74">
        <v>2000</v>
      </c>
      <c r="Y689" s="109">
        <f t="shared" si="148"/>
        <v>7000</v>
      </c>
      <c r="Z689" s="76"/>
    </row>
    <row r="690" spans="1:27" s="29" customFormat="1" ht="21" customHeight="1" x14ac:dyDescent="0.2">
      <c r="A690" s="30"/>
      <c r="B690" s="56" t="s">
        <v>70</v>
      </c>
      <c r="C690" s="39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2</v>
      </c>
      <c r="F690" s="48" t="s">
        <v>69</v>
      </c>
      <c r="G690" s="115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3000</v>
      </c>
      <c r="I690" s="458" t="s">
        <v>65</v>
      </c>
      <c r="J690" s="459"/>
      <c r="K690" s="57">
        <f>K688-K689</f>
        <v>19290.322580645163</v>
      </c>
      <c r="L690" s="58"/>
      <c r="N690" s="71"/>
      <c r="O690" s="72" t="s">
        <v>58</v>
      </c>
      <c r="P690" s="72">
        <v>28</v>
      </c>
      <c r="Q690" s="72">
        <v>2</v>
      </c>
      <c r="R690" s="72">
        <f t="shared" si="145"/>
        <v>3</v>
      </c>
      <c r="S690" s="63"/>
      <c r="T690" s="72" t="s">
        <v>58</v>
      </c>
      <c r="U690" s="109">
        <f>Y689</f>
        <v>7000</v>
      </c>
      <c r="V690" s="74"/>
      <c r="W690" s="109">
        <f t="shared" si="147"/>
        <v>7000</v>
      </c>
      <c r="X690" s="74">
        <v>2000</v>
      </c>
      <c r="Y690" s="109">
        <f t="shared" si="148"/>
        <v>5000</v>
      </c>
      <c r="Z690" s="76"/>
    </row>
    <row r="691" spans="1:27" s="29" customFormat="1" ht="21" customHeight="1" x14ac:dyDescent="0.2">
      <c r="A691" s="30"/>
      <c r="L691" s="46"/>
      <c r="N691" s="71"/>
      <c r="O691" s="72" t="s">
        <v>54</v>
      </c>
      <c r="P691" s="72">
        <v>30</v>
      </c>
      <c r="Q691" s="72">
        <v>1</v>
      </c>
      <c r="R691" s="72">
        <f t="shared" si="145"/>
        <v>2</v>
      </c>
      <c r="S691" s="63"/>
      <c r="T691" s="72" t="s">
        <v>54</v>
      </c>
      <c r="U691" s="109">
        <f>Y690</f>
        <v>5000</v>
      </c>
      <c r="V691" s="74"/>
      <c r="W691" s="109">
        <f t="shared" si="147"/>
        <v>5000</v>
      </c>
      <c r="X691" s="74">
        <v>2000</v>
      </c>
      <c r="Y691" s="109">
        <f t="shared" si="148"/>
        <v>3000</v>
      </c>
      <c r="Z691" s="76"/>
    </row>
    <row r="692" spans="1:27" s="29" customFormat="1" ht="21" customHeight="1" x14ac:dyDescent="0.2">
      <c r="A692" s="30"/>
      <c r="B692" s="455" t="s">
        <v>94</v>
      </c>
      <c r="C692" s="455"/>
      <c r="D692" s="455"/>
      <c r="E692" s="455"/>
      <c r="F692" s="455"/>
      <c r="G692" s="455"/>
      <c r="H692" s="455"/>
      <c r="I692" s="455"/>
      <c r="J692" s="455"/>
      <c r="K692" s="455"/>
      <c r="L692" s="46"/>
      <c r="N692" s="71"/>
      <c r="O692" s="72" t="s">
        <v>59</v>
      </c>
      <c r="P692" s="72"/>
      <c r="Q692" s="72"/>
      <c r="R692" s="72" t="str">
        <f t="shared" si="145"/>
        <v/>
      </c>
      <c r="S692" s="63"/>
      <c r="T692" s="72" t="s">
        <v>59</v>
      </c>
      <c r="U692" s="109"/>
      <c r="V692" s="74"/>
      <c r="W692" s="109" t="str">
        <f t="shared" si="147"/>
        <v/>
      </c>
      <c r="X692" s="74"/>
      <c r="Y692" s="109" t="str">
        <f t="shared" si="148"/>
        <v/>
      </c>
      <c r="Z692" s="76"/>
    </row>
    <row r="693" spans="1:27" s="29" customFormat="1" ht="21" customHeight="1" x14ac:dyDescent="0.2">
      <c r="A693" s="30"/>
      <c r="B693" s="455"/>
      <c r="C693" s="455"/>
      <c r="D693" s="455"/>
      <c r="E693" s="455"/>
      <c r="F693" s="455"/>
      <c r="G693" s="455"/>
      <c r="H693" s="455"/>
      <c r="I693" s="455"/>
      <c r="J693" s="455"/>
      <c r="K693" s="455"/>
      <c r="L693" s="46"/>
      <c r="N693" s="71"/>
      <c r="O693" s="72" t="s">
        <v>60</v>
      </c>
      <c r="P693" s="72"/>
      <c r="Q693" s="72"/>
      <c r="R693" s="72" t="str">
        <f t="shared" si="145"/>
        <v/>
      </c>
      <c r="S693" s="63"/>
      <c r="T693" s="72" t="s">
        <v>60</v>
      </c>
      <c r="U693" s="109"/>
      <c r="V693" s="74"/>
      <c r="W693" s="109" t="str">
        <f t="shared" si="147"/>
        <v/>
      </c>
      <c r="X693" s="74"/>
      <c r="Y693" s="109" t="str">
        <f t="shared" si="148"/>
        <v/>
      </c>
      <c r="Z693" s="76"/>
    </row>
    <row r="694" spans="1:27" s="29" customFormat="1" ht="21" customHeight="1" thickBot="1" x14ac:dyDescent="0.25">
      <c r="A694" s="5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1"/>
      <c r="N694" s="77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9"/>
    </row>
    <row r="695" spans="1:27" s="29" customFormat="1" ht="21" customHeight="1" thickBot="1" x14ac:dyDescent="0.25"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7" s="29" customFormat="1" ht="21" customHeight="1" x14ac:dyDescent="0.2">
      <c r="A696" s="460" t="s">
        <v>42</v>
      </c>
      <c r="B696" s="461"/>
      <c r="C696" s="461"/>
      <c r="D696" s="461"/>
      <c r="E696" s="461"/>
      <c r="F696" s="461"/>
      <c r="G696" s="461"/>
      <c r="H696" s="461"/>
      <c r="I696" s="461"/>
      <c r="J696" s="461"/>
      <c r="K696" s="461"/>
      <c r="L696" s="462"/>
      <c r="M696" s="28"/>
      <c r="N696" s="64"/>
      <c r="O696" s="469" t="s">
        <v>44</v>
      </c>
      <c r="P696" s="470"/>
      <c r="Q696" s="470"/>
      <c r="R696" s="471"/>
      <c r="S696" s="65"/>
      <c r="T696" s="469" t="s">
        <v>45</v>
      </c>
      <c r="U696" s="470"/>
      <c r="V696" s="470"/>
      <c r="W696" s="470"/>
      <c r="X696" s="470"/>
      <c r="Y696" s="471"/>
      <c r="Z696" s="66"/>
      <c r="AA696" s="28"/>
    </row>
    <row r="697" spans="1:27" s="29" customFormat="1" ht="21" customHeight="1" x14ac:dyDescent="0.2">
      <c r="A697" s="30"/>
      <c r="C697" s="466" t="s">
        <v>92</v>
      </c>
      <c r="D697" s="466"/>
      <c r="E697" s="466"/>
      <c r="F697" s="466"/>
      <c r="G697" s="31" t="str">
        <f>$J$1</f>
        <v>October</v>
      </c>
      <c r="H697" s="467">
        <f>$K$1</f>
        <v>2022</v>
      </c>
      <c r="I697" s="467"/>
      <c r="K697" s="32"/>
      <c r="L697" s="33"/>
      <c r="M697" s="32"/>
      <c r="N697" s="67"/>
      <c r="O697" s="68" t="s">
        <v>55</v>
      </c>
      <c r="P697" s="68" t="s">
        <v>7</v>
      </c>
      <c r="Q697" s="68" t="s">
        <v>6</v>
      </c>
      <c r="R697" s="68" t="s">
        <v>56</v>
      </c>
      <c r="S697" s="69"/>
      <c r="T697" s="68" t="s">
        <v>55</v>
      </c>
      <c r="U697" s="68" t="s">
        <v>57</v>
      </c>
      <c r="V697" s="68" t="s">
        <v>22</v>
      </c>
      <c r="W697" s="68" t="s">
        <v>21</v>
      </c>
      <c r="X697" s="68" t="s">
        <v>23</v>
      </c>
      <c r="Y697" s="68" t="s">
        <v>61</v>
      </c>
      <c r="Z697" s="70"/>
      <c r="AA697" s="32"/>
    </row>
    <row r="698" spans="1:27" s="29" customFormat="1" ht="21" customHeight="1" x14ac:dyDescent="0.2">
      <c r="A698" s="30"/>
      <c r="D698" s="35"/>
      <c r="E698" s="35"/>
      <c r="F698" s="35"/>
      <c r="G698" s="35"/>
      <c r="H698" s="35"/>
      <c r="J698" s="36" t="s">
        <v>1</v>
      </c>
      <c r="K698" s="37">
        <v>25000</v>
      </c>
      <c r="L698" s="38"/>
      <c r="N698" s="71"/>
      <c r="O698" s="72" t="s">
        <v>47</v>
      </c>
      <c r="P698" s="72">
        <v>28</v>
      </c>
      <c r="Q698" s="72">
        <v>3</v>
      </c>
      <c r="R698" s="72">
        <f>15-Q698</f>
        <v>12</v>
      </c>
      <c r="S698" s="73"/>
      <c r="T698" s="72" t="s">
        <v>47</v>
      </c>
      <c r="U698" s="74">
        <v>3000</v>
      </c>
      <c r="V698" s="74"/>
      <c r="W698" s="74">
        <f>V698+U698</f>
        <v>3000</v>
      </c>
      <c r="X698" s="74">
        <v>1000</v>
      </c>
      <c r="Y698" s="74">
        <f>W698-X698</f>
        <v>2000</v>
      </c>
      <c r="Z698" s="70"/>
    </row>
    <row r="699" spans="1:27" s="29" customFormat="1" ht="21" customHeight="1" x14ac:dyDescent="0.2">
      <c r="A699" s="30"/>
      <c r="B699" s="29" t="s">
        <v>0</v>
      </c>
      <c r="C699" s="40" t="s">
        <v>147</v>
      </c>
      <c r="H699" s="41"/>
      <c r="I699" s="35"/>
      <c r="L699" s="42"/>
      <c r="M699" s="28"/>
      <c r="N699" s="75"/>
      <c r="O699" s="72" t="s">
        <v>73</v>
      </c>
      <c r="P699" s="72">
        <v>28</v>
      </c>
      <c r="Q699" s="72">
        <v>0</v>
      </c>
      <c r="R699" s="72">
        <f t="shared" ref="R699:R709" si="149">IF(Q699="","",R698-Q699)</f>
        <v>12</v>
      </c>
      <c r="S699" s="63"/>
      <c r="T699" s="72" t="s">
        <v>73</v>
      </c>
      <c r="U699" s="109">
        <f>IF($J$1="January","",Y698)</f>
        <v>2000</v>
      </c>
      <c r="V699" s="74">
        <v>1000</v>
      </c>
      <c r="W699" s="109">
        <f>IF(U699="","",U699+V699)</f>
        <v>3000</v>
      </c>
      <c r="X699" s="74">
        <v>1000</v>
      </c>
      <c r="Y699" s="109">
        <f>IF(W699="","",W699-X699)</f>
        <v>2000</v>
      </c>
      <c r="Z699" s="76"/>
      <c r="AA699" s="28"/>
    </row>
    <row r="700" spans="1:27" s="29" customFormat="1" ht="21" customHeight="1" x14ac:dyDescent="0.2">
      <c r="A700" s="30"/>
      <c r="B700" s="44" t="s">
        <v>43</v>
      </c>
      <c r="C700" s="45"/>
      <c r="F700" s="468" t="s">
        <v>45</v>
      </c>
      <c r="G700" s="468"/>
      <c r="I700" s="468" t="s">
        <v>46</v>
      </c>
      <c r="J700" s="468"/>
      <c r="K700" s="468"/>
      <c r="L700" s="46"/>
      <c r="N700" s="71"/>
      <c r="O700" s="72" t="s">
        <v>48</v>
      </c>
      <c r="P700" s="72">
        <v>31</v>
      </c>
      <c r="Q700" s="72">
        <v>0</v>
      </c>
      <c r="R700" s="72">
        <f t="shared" si="149"/>
        <v>12</v>
      </c>
      <c r="S700" s="63"/>
      <c r="T700" s="72" t="s">
        <v>48</v>
      </c>
      <c r="U700" s="109">
        <f>IF($J$1="February","",Y699)</f>
        <v>2000</v>
      </c>
      <c r="V700" s="74"/>
      <c r="W700" s="109">
        <f t="shared" ref="W700:W709" si="150">IF(U700="","",U700+V700)</f>
        <v>2000</v>
      </c>
      <c r="X700" s="74">
        <v>1000</v>
      </c>
      <c r="Y700" s="109">
        <f t="shared" ref="Y700:Y709" si="151">IF(W700="","",W700-X700)</f>
        <v>1000</v>
      </c>
      <c r="Z700" s="76"/>
    </row>
    <row r="701" spans="1:27" s="29" customFormat="1" ht="21" customHeight="1" x14ac:dyDescent="0.2">
      <c r="A701" s="30"/>
      <c r="H701" s="47"/>
      <c r="L701" s="34"/>
      <c r="N701" s="71"/>
      <c r="O701" s="72" t="s">
        <v>49</v>
      </c>
      <c r="P701" s="72">
        <v>30</v>
      </c>
      <c r="Q701" s="72">
        <v>0</v>
      </c>
      <c r="R701" s="72">
        <f t="shared" si="149"/>
        <v>12</v>
      </c>
      <c r="S701" s="63"/>
      <c r="T701" s="72" t="s">
        <v>49</v>
      </c>
      <c r="U701" s="109">
        <f>IF($J$1="March","",Y700)</f>
        <v>1000</v>
      </c>
      <c r="V701" s="74"/>
      <c r="W701" s="109">
        <f t="shared" si="150"/>
        <v>1000</v>
      </c>
      <c r="X701" s="74">
        <v>1000</v>
      </c>
      <c r="Y701" s="109">
        <f t="shared" si="151"/>
        <v>0</v>
      </c>
      <c r="Z701" s="76"/>
    </row>
    <row r="702" spans="1:27" s="29" customFormat="1" ht="21" customHeight="1" x14ac:dyDescent="0.2">
      <c r="A702" s="30"/>
      <c r="B702" s="472" t="s">
        <v>44</v>
      </c>
      <c r="C702" s="473"/>
      <c r="F702" s="48" t="s">
        <v>66</v>
      </c>
      <c r="G702" s="115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2500</v>
      </c>
      <c r="H702" s="47"/>
      <c r="I702" s="49">
        <f>IF(C706&gt;0,$K$2,C704)</f>
        <v>31</v>
      </c>
      <c r="J702" s="50" t="s">
        <v>63</v>
      </c>
      <c r="K702" s="51">
        <f>K698/$K$2*I702</f>
        <v>25000</v>
      </c>
      <c r="L702" s="52"/>
      <c r="N702" s="71"/>
      <c r="O702" s="72" t="s">
        <v>50</v>
      </c>
      <c r="P702" s="72">
        <v>30</v>
      </c>
      <c r="Q702" s="72">
        <v>1</v>
      </c>
      <c r="R702" s="72">
        <f t="shared" si="149"/>
        <v>11</v>
      </c>
      <c r="S702" s="63"/>
      <c r="T702" s="72" t="s">
        <v>50</v>
      </c>
      <c r="U702" s="109">
        <f>IF($J$1="April","",Y701)</f>
        <v>0</v>
      </c>
      <c r="V702" s="74">
        <f>1000+1000</f>
        <v>2000</v>
      </c>
      <c r="W702" s="109">
        <f t="shared" si="150"/>
        <v>2000</v>
      </c>
      <c r="X702" s="74">
        <v>1000</v>
      </c>
      <c r="Y702" s="109">
        <f t="shared" si="151"/>
        <v>1000</v>
      </c>
      <c r="Z702" s="76"/>
    </row>
    <row r="703" spans="1:27" s="29" customFormat="1" ht="21" customHeight="1" x14ac:dyDescent="0.2">
      <c r="A703" s="30"/>
      <c r="B703" s="39"/>
      <c r="C703" s="39"/>
      <c r="F703" s="48" t="s">
        <v>22</v>
      </c>
      <c r="G703" s="115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1500</v>
      </c>
      <c r="H703" s="47"/>
      <c r="I703" s="84">
        <v>71</v>
      </c>
      <c r="J703" s="50" t="s">
        <v>64</v>
      </c>
      <c r="K703" s="43">
        <f>K698/$K$2/8*I703</f>
        <v>7157.2580645161297</v>
      </c>
      <c r="L703" s="54"/>
      <c r="N703" s="71"/>
      <c r="O703" s="72" t="s">
        <v>51</v>
      </c>
      <c r="P703" s="72">
        <v>27</v>
      </c>
      <c r="Q703" s="72">
        <v>3</v>
      </c>
      <c r="R703" s="72">
        <f t="shared" si="149"/>
        <v>8</v>
      </c>
      <c r="S703" s="63"/>
      <c r="T703" s="72" t="s">
        <v>51</v>
      </c>
      <c r="U703" s="109">
        <f>Y702</f>
        <v>1000</v>
      </c>
      <c r="V703" s="74">
        <f>1000+10000</f>
        <v>11000</v>
      </c>
      <c r="W703" s="109">
        <f t="shared" si="150"/>
        <v>12000</v>
      </c>
      <c r="X703" s="74">
        <v>5000</v>
      </c>
      <c r="Y703" s="109">
        <f t="shared" si="151"/>
        <v>7000</v>
      </c>
      <c r="Z703" s="76"/>
    </row>
    <row r="704" spans="1:27" s="29" customFormat="1" ht="21" customHeight="1" x14ac:dyDescent="0.2">
      <c r="A704" s="30"/>
      <c r="B704" s="48" t="s">
        <v>7</v>
      </c>
      <c r="C704" s="39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29</v>
      </c>
      <c r="F704" s="48" t="s">
        <v>67</v>
      </c>
      <c r="G704" s="115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4000</v>
      </c>
      <c r="H704" s="47"/>
      <c r="I704" s="456" t="s">
        <v>71</v>
      </c>
      <c r="J704" s="457"/>
      <c r="K704" s="53">
        <f>K702+K703</f>
        <v>32157.258064516129</v>
      </c>
      <c r="L704" s="54"/>
      <c r="N704" s="71"/>
      <c r="O704" s="72" t="s">
        <v>52</v>
      </c>
      <c r="P704" s="72">
        <v>31</v>
      </c>
      <c r="Q704" s="72">
        <v>0</v>
      </c>
      <c r="R704" s="72">
        <f t="shared" si="149"/>
        <v>8</v>
      </c>
      <c r="S704" s="63"/>
      <c r="T704" s="72" t="s">
        <v>52</v>
      </c>
      <c r="U704" s="109">
        <f>Y703</f>
        <v>7000</v>
      </c>
      <c r="V704" s="74">
        <v>2000</v>
      </c>
      <c r="W704" s="109">
        <f t="shared" si="150"/>
        <v>9000</v>
      </c>
      <c r="X704" s="74">
        <v>2500</v>
      </c>
      <c r="Y704" s="109">
        <f t="shared" si="151"/>
        <v>6500</v>
      </c>
      <c r="Z704" s="76"/>
    </row>
    <row r="705" spans="1:27" s="29" customFormat="1" ht="21" customHeight="1" x14ac:dyDescent="0.2">
      <c r="A705" s="30"/>
      <c r="B705" s="48" t="s">
        <v>6</v>
      </c>
      <c r="C705" s="39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2</v>
      </c>
      <c r="F705" s="48" t="s">
        <v>23</v>
      </c>
      <c r="G705" s="115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1000</v>
      </c>
      <c r="H705" s="47"/>
      <c r="I705" s="456" t="s">
        <v>72</v>
      </c>
      <c r="J705" s="457"/>
      <c r="K705" s="43">
        <f>G705</f>
        <v>1000</v>
      </c>
      <c r="L705" s="55"/>
      <c r="N705" s="71"/>
      <c r="O705" s="72" t="s">
        <v>53</v>
      </c>
      <c r="P705" s="72">
        <v>27</v>
      </c>
      <c r="Q705" s="72">
        <v>4</v>
      </c>
      <c r="R705" s="72">
        <f t="shared" si="149"/>
        <v>4</v>
      </c>
      <c r="S705" s="63"/>
      <c r="T705" s="72" t="s">
        <v>53</v>
      </c>
      <c r="U705" s="109">
        <f>Y704</f>
        <v>6500</v>
      </c>
      <c r="V705" s="74"/>
      <c r="W705" s="109">
        <f t="shared" si="150"/>
        <v>6500</v>
      </c>
      <c r="X705" s="74">
        <v>2500</v>
      </c>
      <c r="Y705" s="109">
        <f t="shared" si="151"/>
        <v>4000</v>
      </c>
      <c r="Z705" s="76"/>
    </row>
    <row r="706" spans="1:27" s="29" customFormat="1" ht="21" customHeight="1" x14ac:dyDescent="0.2">
      <c r="A706" s="30"/>
      <c r="B706" s="56" t="s">
        <v>70</v>
      </c>
      <c r="C706" s="39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1</v>
      </c>
      <c r="F706" s="48" t="s">
        <v>69</v>
      </c>
      <c r="G706" s="115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3000</v>
      </c>
      <c r="I706" s="458" t="s">
        <v>65</v>
      </c>
      <c r="J706" s="459"/>
      <c r="K706" s="57">
        <f>K704-K705</f>
        <v>31157.258064516129</v>
      </c>
      <c r="L706" s="58"/>
      <c r="N706" s="71"/>
      <c r="O706" s="72" t="s">
        <v>58</v>
      </c>
      <c r="P706" s="72">
        <v>29</v>
      </c>
      <c r="Q706" s="72">
        <v>1</v>
      </c>
      <c r="R706" s="72">
        <f t="shared" si="149"/>
        <v>3</v>
      </c>
      <c r="S706" s="63"/>
      <c r="T706" s="72" t="s">
        <v>58</v>
      </c>
      <c r="U706" s="109">
        <f>Y705</f>
        <v>4000</v>
      </c>
      <c r="V706" s="74">
        <v>1000</v>
      </c>
      <c r="W706" s="109">
        <f t="shared" si="150"/>
        <v>5000</v>
      </c>
      <c r="X706" s="74">
        <v>2500</v>
      </c>
      <c r="Y706" s="109">
        <f t="shared" si="151"/>
        <v>2500</v>
      </c>
      <c r="Z706" s="76"/>
    </row>
    <row r="707" spans="1:27" s="29" customFormat="1" ht="21" customHeight="1" x14ac:dyDescent="0.2">
      <c r="A707" s="30"/>
      <c r="K707" s="113"/>
      <c r="L707" s="46"/>
      <c r="N707" s="71"/>
      <c r="O707" s="72" t="s">
        <v>54</v>
      </c>
      <c r="P707" s="72">
        <v>29</v>
      </c>
      <c r="Q707" s="72">
        <v>2</v>
      </c>
      <c r="R707" s="72">
        <f t="shared" si="149"/>
        <v>1</v>
      </c>
      <c r="S707" s="63"/>
      <c r="T707" s="72" t="s">
        <v>54</v>
      </c>
      <c r="U707" s="109">
        <f>IF($J$1="September","",Y706)</f>
        <v>2500</v>
      </c>
      <c r="V707" s="74">
        <v>1500</v>
      </c>
      <c r="W707" s="109">
        <f t="shared" si="150"/>
        <v>4000</v>
      </c>
      <c r="X707" s="74">
        <v>1000</v>
      </c>
      <c r="Y707" s="109">
        <f t="shared" si="151"/>
        <v>3000</v>
      </c>
      <c r="Z707" s="76"/>
    </row>
    <row r="708" spans="1:27" s="29" customFormat="1" ht="21" customHeight="1" x14ac:dyDescent="0.2">
      <c r="A708" s="30"/>
      <c r="B708" s="455" t="s">
        <v>94</v>
      </c>
      <c r="C708" s="455"/>
      <c r="D708" s="455"/>
      <c r="E708" s="455"/>
      <c r="F708" s="455"/>
      <c r="G708" s="455"/>
      <c r="H708" s="455"/>
      <c r="I708" s="455"/>
      <c r="J708" s="455"/>
      <c r="K708" s="455"/>
      <c r="L708" s="46"/>
      <c r="N708" s="71"/>
      <c r="O708" s="72" t="s">
        <v>59</v>
      </c>
      <c r="P708" s="72"/>
      <c r="Q708" s="72"/>
      <c r="R708" s="72" t="str">
        <f t="shared" si="149"/>
        <v/>
      </c>
      <c r="S708" s="63"/>
      <c r="T708" s="72" t="s">
        <v>59</v>
      </c>
      <c r="U708" s="109" t="str">
        <f>IF($J$1="October","",Y707)</f>
        <v/>
      </c>
      <c r="V708" s="74"/>
      <c r="W708" s="109" t="str">
        <f t="shared" si="150"/>
        <v/>
      </c>
      <c r="X708" s="74">
        <v>3000</v>
      </c>
      <c r="Y708" s="109" t="str">
        <f t="shared" si="151"/>
        <v/>
      </c>
      <c r="Z708" s="76"/>
    </row>
    <row r="709" spans="1:27" s="29" customFormat="1" ht="21" customHeight="1" x14ac:dyDescent="0.2">
      <c r="A709" s="30"/>
      <c r="B709" s="455"/>
      <c r="C709" s="455"/>
      <c r="D709" s="455"/>
      <c r="E709" s="455"/>
      <c r="F709" s="455"/>
      <c r="G709" s="455"/>
      <c r="H709" s="455"/>
      <c r="I709" s="455"/>
      <c r="J709" s="455"/>
      <c r="K709" s="455"/>
      <c r="L709" s="46"/>
      <c r="N709" s="71"/>
      <c r="O709" s="72" t="s">
        <v>60</v>
      </c>
      <c r="P709" s="72"/>
      <c r="Q709" s="72"/>
      <c r="R709" s="72" t="str">
        <f t="shared" si="149"/>
        <v/>
      </c>
      <c r="S709" s="63"/>
      <c r="T709" s="72" t="s">
        <v>60</v>
      </c>
      <c r="U709" s="109" t="str">
        <f>IF($J$1="November","",Y708)</f>
        <v/>
      </c>
      <c r="V709" s="74"/>
      <c r="W709" s="109" t="str">
        <f t="shared" si="150"/>
        <v/>
      </c>
      <c r="X709" s="74"/>
      <c r="Y709" s="109" t="str">
        <f t="shared" si="151"/>
        <v/>
      </c>
      <c r="Z709" s="76"/>
    </row>
    <row r="710" spans="1:27" s="29" customFormat="1" ht="21" customHeight="1" thickBot="1" x14ac:dyDescent="0.25">
      <c r="A710" s="5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1"/>
      <c r="N710" s="77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9"/>
    </row>
    <row r="711" spans="1:27" s="29" customFormat="1" ht="21.4" customHeight="1" thickBot="1" x14ac:dyDescent="0.25"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7" s="29" customFormat="1" ht="21.4" hidden="1" customHeight="1" x14ac:dyDescent="0.2">
      <c r="A712" s="503" t="s">
        <v>42</v>
      </c>
      <c r="B712" s="504"/>
      <c r="C712" s="504"/>
      <c r="D712" s="504"/>
      <c r="E712" s="504"/>
      <c r="F712" s="504"/>
      <c r="G712" s="504"/>
      <c r="H712" s="504"/>
      <c r="I712" s="504"/>
      <c r="J712" s="504"/>
      <c r="K712" s="504"/>
      <c r="L712" s="505"/>
      <c r="M712" s="28"/>
      <c r="N712" s="64"/>
      <c r="O712" s="469" t="s">
        <v>44</v>
      </c>
      <c r="P712" s="470"/>
      <c r="Q712" s="470"/>
      <c r="R712" s="471"/>
      <c r="S712" s="65"/>
      <c r="T712" s="469" t="s">
        <v>45</v>
      </c>
      <c r="U712" s="470"/>
      <c r="V712" s="470"/>
      <c r="W712" s="470"/>
      <c r="X712" s="470"/>
      <c r="Y712" s="471"/>
      <c r="Z712" s="66"/>
      <c r="AA712" s="28"/>
    </row>
    <row r="713" spans="1:27" s="29" customFormat="1" ht="21.4" hidden="1" customHeight="1" x14ac:dyDescent="0.2">
      <c r="A713" s="382"/>
      <c r="B713" s="383"/>
      <c r="C713" s="499" t="s">
        <v>247</v>
      </c>
      <c r="D713" s="499"/>
      <c r="E713" s="499"/>
      <c r="F713" s="499"/>
      <c r="G713" s="384" t="str">
        <f>$J$1</f>
        <v>October</v>
      </c>
      <c r="H713" s="483">
        <f>$K$1</f>
        <v>2022</v>
      </c>
      <c r="I713" s="483"/>
      <c r="J713" s="383"/>
      <c r="K713" s="385"/>
      <c r="L713" s="386"/>
      <c r="M713" s="32"/>
      <c r="N713" s="67"/>
      <c r="O713" s="68" t="s">
        <v>55</v>
      </c>
      <c r="P713" s="68" t="s">
        <v>7</v>
      </c>
      <c r="Q713" s="68" t="s">
        <v>6</v>
      </c>
      <c r="R713" s="68" t="s">
        <v>56</v>
      </c>
      <c r="S713" s="69"/>
      <c r="T713" s="68" t="s">
        <v>55</v>
      </c>
      <c r="U713" s="68" t="s">
        <v>57</v>
      </c>
      <c r="V713" s="68" t="s">
        <v>22</v>
      </c>
      <c r="W713" s="68" t="s">
        <v>21</v>
      </c>
      <c r="X713" s="68" t="s">
        <v>23</v>
      </c>
      <c r="Y713" s="68" t="s">
        <v>61</v>
      </c>
      <c r="Z713" s="70"/>
      <c r="AA713" s="32"/>
    </row>
    <row r="714" spans="1:27" s="29" customFormat="1" ht="21.4" hidden="1" customHeight="1" x14ac:dyDescent="0.2">
      <c r="A714" s="382"/>
      <c r="B714" s="383"/>
      <c r="C714" s="383"/>
      <c r="D714" s="387"/>
      <c r="E714" s="387"/>
      <c r="F714" s="387"/>
      <c r="G714" s="387"/>
      <c r="H714" s="387"/>
      <c r="I714" s="383"/>
      <c r="J714" s="388" t="s">
        <v>1</v>
      </c>
      <c r="K714" s="389">
        <v>17000</v>
      </c>
      <c r="L714" s="390"/>
      <c r="N714" s="71"/>
      <c r="O714" s="72" t="s">
        <v>47</v>
      </c>
      <c r="P714" s="72"/>
      <c r="Q714" s="72"/>
      <c r="R714" s="72">
        <v>0</v>
      </c>
      <c r="S714" s="73"/>
      <c r="T714" s="72" t="s">
        <v>47</v>
      </c>
      <c r="U714" s="74"/>
      <c r="V714" s="74"/>
      <c r="W714" s="74">
        <f>V714+U714</f>
        <v>0</v>
      </c>
      <c r="X714" s="74"/>
      <c r="Y714" s="74">
        <f>W714-X714</f>
        <v>0</v>
      </c>
      <c r="Z714" s="70"/>
    </row>
    <row r="715" spans="1:27" s="29" customFormat="1" ht="21.4" hidden="1" customHeight="1" x14ac:dyDescent="0.2">
      <c r="A715" s="382"/>
      <c r="B715" s="383" t="s">
        <v>0</v>
      </c>
      <c r="C715" s="391" t="s">
        <v>246</v>
      </c>
      <c r="D715" s="383"/>
      <c r="E715" s="383"/>
      <c r="F715" s="383"/>
      <c r="G715" s="383"/>
      <c r="H715" s="392"/>
      <c r="I715" s="387"/>
      <c r="J715" s="383"/>
      <c r="K715" s="383"/>
      <c r="L715" s="393"/>
      <c r="M715" s="28"/>
      <c r="N715" s="75"/>
      <c r="O715" s="72" t="s">
        <v>73</v>
      </c>
      <c r="P715" s="72"/>
      <c r="Q715" s="72"/>
      <c r="R715" s="72">
        <v>0</v>
      </c>
      <c r="S715" s="63"/>
      <c r="T715" s="72" t="s">
        <v>73</v>
      </c>
      <c r="U715" s="109">
        <f>IF($J$1="January","",Y714)</f>
        <v>0</v>
      </c>
      <c r="V715" s="74"/>
      <c r="W715" s="109">
        <f>IF(U715="","",U715+V715)</f>
        <v>0</v>
      </c>
      <c r="X715" s="74"/>
      <c r="Y715" s="109">
        <f>IF(W715="","",W715-X715)</f>
        <v>0</v>
      </c>
      <c r="Z715" s="76"/>
      <c r="AA715" s="28"/>
    </row>
    <row r="716" spans="1:27" s="29" customFormat="1" ht="21.4" hidden="1" customHeight="1" x14ac:dyDescent="0.2">
      <c r="A716" s="382"/>
      <c r="B716" s="394" t="s">
        <v>43</v>
      </c>
      <c r="C716" s="395"/>
      <c r="D716" s="383"/>
      <c r="E716" s="383"/>
      <c r="F716" s="510" t="s">
        <v>45</v>
      </c>
      <c r="G716" s="510"/>
      <c r="H716" s="383"/>
      <c r="I716" s="510" t="s">
        <v>46</v>
      </c>
      <c r="J716" s="510"/>
      <c r="K716" s="510"/>
      <c r="L716" s="396"/>
      <c r="N716" s="71"/>
      <c r="O716" s="72" t="s">
        <v>48</v>
      </c>
      <c r="P716" s="72"/>
      <c r="Q716" s="72"/>
      <c r="R716" s="72" t="str">
        <f t="shared" ref="R716:R725" si="152">IF(Q716="","",R715-Q716)</f>
        <v/>
      </c>
      <c r="S716" s="63"/>
      <c r="T716" s="72" t="s">
        <v>48</v>
      </c>
      <c r="U716" s="109">
        <f>IF($J$1="February","",Y715)</f>
        <v>0</v>
      </c>
      <c r="V716" s="74"/>
      <c r="W716" s="109">
        <f t="shared" ref="W716:W725" si="153">IF(U716="","",U716+V716)</f>
        <v>0</v>
      </c>
      <c r="X716" s="74"/>
      <c r="Y716" s="109">
        <f t="shared" ref="Y716:Y725" si="154">IF(W716="","",W716-X716)</f>
        <v>0</v>
      </c>
      <c r="Z716" s="76"/>
    </row>
    <row r="717" spans="1:27" s="29" customFormat="1" ht="21.4" hidden="1" customHeight="1" x14ac:dyDescent="0.2">
      <c r="A717" s="382"/>
      <c r="B717" s="383"/>
      <c r="C717" s="383"/>
      <c r="D717" s="383"/>
      <c r="E717" s="383"/>
      <c r="F717" s="383"/>
      <c r="G717" s="383"/>
      <c r="H717" s="397"/>
      <c r="I717" s="383"/>
      <c r="J717" s="383"/>
      <c r="K717" s="383"/>
      <c r="L717" s="398"/>
      <c r="N717" s="71"/>
      <c r="O717" s="72" t="s">
        <v>49</v>
      </c>
      <c r="P717" s="72"/>
      <c r="Q717" s="72"/>
      <c r="R717" s="72" t="str">
        <f t="shared" si="152"/>
        <v/>
      </c>
      <c r="S717" s="63"/>
      <c r="T717" s="72" t="s">
        <v>49</v>
      </c>
      <c r="U717" s="109">
        <f>IF($J$1="March","",Y716)</f>
        <v>0</v>
      </c>
      <c r="V717" s="74"/>
      <c r="W717" s="109">
        <f t="shared" si="153"/>
        <v>0</v>
      </c>
      <c r="X717" s="74"/>
      <c r="Y717" s="109">
        <f t="shared" si="154"/>
        <v>0</v>
      </c>
      <c r="Z717" s="76"/>
    </row>
    <row r="718" spans="1:27" s="29" customFormat="1" ht="21.4" hidden="1" customHeight="1" x14ac:dyDescent="0.2">
      <c r="A718" s="382"/>
      <c r="B718" s="484" t="s">
        <v>44</v>
      </c>
      <c r="C718" s="485"/>
      <c r="D718" s="383"/>
      <c r="E718" s="383"/>
      <c r="F718" s="399" t="s">
        <v>66</v>
      </c>
      <c r="G718" s="400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397"/>
      <c r="I718" s="168"/>
      <c r="J718" s="401" t="s">
        <v>63</v>
      </c>
      <c r="K718" s="402">
        <f>K714/$K$2*I718</f>
        <v>0</v>
      </c>
      <c r="L718" s="403"/>
      <c r="N718" s="71"/>
      <c r="O718" s="72" t="s">
        <v>50</v>
      </c>
      <c r="P718" s="72"/>
      <c r="Q718" s="72">
        <v>0</v>
      </c>
      <c r="R718" s="72">
        <v>0</v>
      </c>
      <c r="S718" s="63"/>
      <c r="T718" s="72" t="s">
        <v>50</v>
      </c>
      <c r="U718" s="109">
        <f>IF($J$1="April","",Y717)</f>
        <v>0</v>
      </c>
      <c r="V718" s="74"/>
      <c r="W718" s="109">
        <f t="shared" si="153"/>
        <v>0</v>
      </c>
      <c r="X718" s="74"/>
      <c r="Y718" s="109">
        <f t="shared" si="154"/>
        <v>0</v>
      </c>
      <c r="Z718" s="76"/>
    </row>
    <row r="719" spans="1:27" s="29" customFormat="1" ht="21.4" hidden="1" customHeight="1" x14ac:dyDescent="0.2">
      <c r="A719" s="382"/>
      <c r="B719" s="404"/>
      <c r="C719" s="404"/>
      <c r="D719" s="383"/>
      <c r="E719" s="383"/>
      <c r="F719" s="399" t="s">
        <v>22</v>
      </c>
      <c r="G719" s="400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397"/>
      <c r="I719" s="405"/>
      <c r="J719" s="401" t="s">
        <v>64</v>
      </c>
      <c r="K719" s="400">
        <f>K714/$K$2/8*I719</f>
        <v>0</v>
      </c>
      <c r="L719" s="406"/>
      <c r="N719" s="71"/>
      <c r="O719" s="72" t="s">
        <v>51</v>
      </c>
      <c r="P719" s="72"/>
      <c r="Q719" s="72"/>
      <c r="R719" s="72">
        <v>0</v>
      </c>
      <c r="S719" s="63"/>
      <c r="T719" s="72" t="s">
        <v>51</v>
      </c>
      <c r="U719" s="109">
        <f>IF($J$1="May","",Y718)</f>
        <v>0</v>
      </c>
      <c r="V719" s="74"/>
      <c r="W719" s="109">
        <f t="shared" si="153"/>
        <v>0</v>
      </c>
      <c r="X719" s="74"/>
      <c r="Y719" s="109">
        <f t="shared" si="154"/>
        <v>0</v>
      </c>
      <c r="Z719" s="76"/>
    </row>
    <row r="720" spans="1:27" s="29" customFormat="1" ht="21.4" hidden="1" customHeight="1" x14ac:dyDescent="0.2">
      <c r="A720" s="382"/>
      <c r="B720" s="399" t="s">
        <v>7</v>
      </c>
      <c r="C720" s="404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383"/>
      <c r="E720" s="383"/>
      <c r="F720" s="399" t="s">
        <v>67</v>
      </c>
      <c r="G720" s="400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397"/>
      <c r="I720" s="497" t="s">
        <v>71</v>
      </c>
      <c r="J720" s="498"/>
      <c r="K720" s="407">
        <f>K718+K719</f>
        <v>0</v>
      </c>
      <c r="L720" s="406"/>
      <c r="N720" s="71"/>
      <c r="O720" s="72" t="s">
        <v>52</v>
      </c>
      <c r="P720" s="72"/>
      <c r="Q720" s="72"/>
      <c r="R720" s="72">
        <v>0</v>
      </c>
      <c r="S720" s="63"/>
      <c r="T720" s="72" t="s">
        <v>52</v>
      </c>
      <c r="U720" s="109">
        <f>IF($J$1="June","",Y719)</f>
        <v>0</v>
      </c>
      <c r="V720" s="74"/>
      <c r="W720" s="109">
        <f t="shared" si="153"/>
        <v>0</v>
      </c>
      <c r="X720" s="74"/>
      <c r="Y720" s="109">
        <f t="shared" si="154"/>
        <v>0</v>
      </c>
      <c r="Z720" s="76"/>
    </row>
    <row r="721" spans="1:27" s="29" customFormat="1" ht="21.4" hidden="1" customHeight="1" x14ac:dyDescent="0.2">
      <c r="A721" s="382"/>
      <c r="B721" s="399" t="s">
        <v>6</v>
      </c>
      <c r="C721" s="404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83"/>
      <c r="E721" s="383"/>
      <c r="F721" s="399" t="s">
        <v>23</v>
      </c>
      <c r="G721" s="400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397"/>
      <c r="I721" s="497" t="s">
        <v>72</v>
      </c>
      <c r="J721" s="498"/>
      <c r="K721" s="400">
        <f>G721</f>
        <v>0</v>
      </c>
      <c r="L721" s="408"/>
      <c r="N721" s="71"/>
      <c r="O721" s="72" t="s">
        <v>53</v>
      </c>
      <c r="P721" s="72"/>
      <c r="Q721" s="72"/>
      <c r="R721" s="72">
        <v>0</v>
      </c>
      <c r="S721" s="63"/>
      <c r="T721" s="72" t="s">
        <v>53</v>
      </c>
      <c r="U721" s="109">
        <f>IF($J$1="July","",Y720)</f>
        <v>0</v>
      </c>
      <c r="V721" s="74"/>
      <c r="W721" s="109">
        <f t="shared" si="153"/>
        <v>0</v>
      </c>
      <c r="X721" s="74"/>
      <c r="Y721" s="109">
        <f t="shared" si="154"/>
        <v>0</v>
      </c>
      <c r="Z721" s="76"/>
    </row>
    <row r="722" spans="1:27" s="29" customFormat="1" ht="21.4" hidden="1" customHeight="1" x14ac:dyDescent="0.2">
      <c r="A722" s="382"/>
      <c r="B722" s="409" t="s">
        <v>70</v>
      </c>
      <c r="C722" s="404" t="str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/>
      </c>
      <c r="D722" s="383"/>
      <c r="E722" s="383"/>
      <c r="F722" s="399" t="s">
        <v>69</v>
      </c>
      <c r="G722" s="400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83"/>
      <c r="I722" s="491" t="s">
        <v>65</v>
      </c>
      <c r="J722" s="492"/>
      <c r="K722" s="410">
        <f>K720-K721</f>
        <v>0</v>
      </c>
      <c r="L722" s="411"/>
      <c r="N722" s="71"/>
      <c r="O722" s="72" t="s">
        <v>58</v>
      </c>
      <c r="P722" s="72"/>
      <c r="Q722" s="72"/>
      <c r="R722" s="72">
        <v>0</v>
      </c>
      <c r="S722" s="63"/>
      <c r="T722" s="72" t="s">
        <v>58</v>
      </c>
      <c r="U722" s="109">
        <f>IF($J$1="August","",Y721)</f>
        <v>0</v>
      </c>
      <c r="V722" s="74"/>
      <c r="W722" s="109">
        <f t="shared" si="153"/>
        <v>0</v>
      </c>
      <c r="X722" s="74"/>
      <c r="Y722" s="109">
        <f t="shared" si="154"/>
        <v>0</v>
      </c>
      <c r="Z722" s="76"/>
    </row>
    <row r="723" spans="1:27" s="29" customFormat="1" ht="21.4" hidden="1" customHeight="1" x14ac:dyDescent="0.2">
      <c r="A723" s="30"/>
      <c r="L723" s="46"/>
      <c r="N723" s="71"/>
      <c r="O723" s="72" t="s">
        <v>54</v>
      </c>
      <c r="P723" s="72"/>
      <c r="Q723" s="72"/>
      <c r="R723" s="72" t="str">
        <f t="shared" si="152"/>
        <v/>
      </c>
      <c r="S723" s="63"/>
      <c r="T723" s="72" t="s">
        <v>54</v>
      </c>
      <c r="U723" s="109">
        <f>IF($J$1="September","",Y722)</f>
        <v>0</v>
      </c>
      <c r="V723" s="74"/>
      <c r="W723" s="109">
        <f t="shared" si="153"/>
        <v>0</v>
      </c>
      <c r="X723" s="74"/>
      <c r="Y723" s="109">
        <f t="shared" si="154"/>
        <v>0</v>
      </c>
      <c r="Z723" s="76"/>
    </row>
    <row r="724" spans="1:27" s="29" customFormat="1" ht="21.4" hidden="1" customHeight="1" x14ac:dyDescent="0.2">
      <c r="A724" s="30"/>
      <c r="B724" s="455" t="s">
        <v>94</v>
      </c>
      <c r="C724" s="455"/>
      <c r="D724" s="455"/>
      <c r="E724" s="455"/>
      <c r="F724" s="455"/>
      <c r="G724" s="455"/>
      <c r="H724" s="455"/>
      <c r="I724" s="455"/>
      <c r="J724" s="455"/>
      <c r="K724" s="455"/>
      <c r="L724" s="46"/>
      <c r="N724" s="71"/>
      <c r="O724" s="72" t="s">
        <v>59</v>
      </c>
      <c r="P724" s="72"/>
      <c r="Q724" s="72"/>
      <c r="R724" s="72" t="str">
        <f t="shared" si="152"/>
        <v/>
      </c>
      <c r="S724" s="63"/>
      <c r="T724" s="72" t="s">
        <v>59</v>
      </c>
      <c r="U724" s="109" t="str">
        <f>IF($J$1="October","",Y723)</f>
        <v/>
      </c>
      <c r="V724" s="74"/>
      <c r="W724" s="109" t="str">
        <f t="shared" si="153"/>
        <v/>
      </c>
      <c r="X724" s="74"/>
      <c r="Y724" s="109" t="str">
        <f t="shared" si="154"/>
        <v/>
      </c>
      <c r="Z724" s="76"/>
    </row>
    <row r="725" spans="1:27" s="29" customFormat="1" ht="21.4" hidden="1" customHeight="1" x14ac:dyDescent="0.2">
      <c r="A725" s="30"/>
      <c r="B725" s="455"/>
      <c r="C725" s="455"/>
      <c r="D725" s="455"/>
      <c r="E725" s="455"/>
      <c r="F725" s="455"/>
      <c r="G725" s="455"/>
      <c r="H725" s="455"/>
      <c r="I725" s="455"/>
      <c r="J725" s="455"/>
      <c r="K725" s="455"/>
      <c r="L725" s="46"/>
      <c r="N725" s="71"/>
      <c r="O725" s="72" t="s">
        <v>60</v>
      </c>
      <c r="P725" s="72"/>
      <c r="Q725" s="72"/>
      <c r="R725" s="72" t="str">
        <f t="shared" si="152"/>
        <v/>
      </c>
      <c r="S725" s="63"/>
      <c r="T725" s="72" t="s">
        <v>60</v>
      </c>
      <c r="U725" s="109" t="str">
        <f>IF($J$1="November","",Y724)</f>
        <v/>
      </c>
      <c r="V725" s="74"/>
      <c r="W725" s="109" t="str">
        <f t="shared" si="153"/>
        <v/>
      </c>
      <c r="X725" s="74"/>
      <c r="Y725" s="109" t="str">
        <f t="shared" si="154"/>
        <v/>
      </c>
      <c r="Z725" s="76"/>
    </row>
    <row r="726" spans="1:27" s="29" customFormat="1" ht="21.4" hidden="1" customHeight="1" thickBot="1" x14ac:dyDescent="0.25">
      <c r="A726" s="5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1"/>
      <c r="N726" s="77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9"/>
    </row>
    <row r="727" spans="1:27" s="29" customFormat="1" ht="21.4" hidden="1" customHeight="1" thickBot="1" x14ac:dyDescent="0.25"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7" s="29" customFormat="1" ht="21.4" customHeight="1" x14ac:dyDescent="0.2">
      <c r="A728" s="463" t="s">
        <v>42</v>
      </c>
      <c r="B728" s="464"/>
      <c r="C728" s="464"/>
      <c r="D728" s="464"/>
      <c r="E728" s="464"/>
      <c r="F728" s="464"/>
      <c r="G728" s="464"/>
      <c r="H728" s="464"/>
      <c r="I728" s="464"/>
      <c r="J728" s="464"/>
      <c r="K728" s="464"/>
      <c r="L728" s="465"/>
      <c r="M728" s="28"/>
      <c r="N728" s="64"/>
      <c r="O728" s="469" t="s">
        <v>44</v>
      </c>
      <c r="P728" s="470"/>
      <c r="Q728" s="470"/>
      <c r="R728" s="471"/>
      <c r="S728" s="65"/>
      <c r="T728" s="469" t="s">
        <v>45</v>
      </c>
      <c r="U728" s="470"/>
      <c r="V728" s="470"/>
      <c r="W728" s="470"/>
      <c r="X728" s="470"/>
      <c r="Y728" s="471"/>
      <c r="Z728" s="66"/>
      <c r="AA728" s="28"/>
    </row>
    <row r="729" spans="1:27" s="29" customFormat="1" ht="21.4" customHeight="1" x14ac:dyDescent="0.2">
      <c r="A729" s="30"/>
      <c r="C729" s="466" t="s">
        <v>92</v>
      </c>
      <c r="D729" s="466"/>
      <c r="E729" s="466"/>
      <c r="F729" s="466"/>
      <c r="G729" s="31" t="str">
        <f>$J$1</f>
        <v>October</v>
      </c>
      <c r="H729" s="467">
        <f>$K$1</f>
        <v>2022</v>
      </c>
      <c r="I729" s="467"/>
      <c r="K729" s="32"/>
      <c r="L729" s="33"/>
      <c r="M729" s="32"/>
      <c r="N729" s="67"/>
      <c r="O729" s="68" t="s">
        <v>55</v>
      </c>
      <c r="P729" s="68" t="s">
        <v>7</v>
      </c>
      <c r="Q729" s="68" t="s">
        <v>6</v>
      </c>
      <c r="R729" s="68" t="s">
        <v>56</v>
      </c>
      <c r="S729" s="69"/>
      <c r="T729" s="68" t="s">
        <v>55</v>
      </c>
      <c r="U729" s="68" t="s">
        <v>57</v>
      </c>
      <c r="V729" s="68" t="s">
        <v>22</v>
      </c>
      <c r="W729" s="68" t="s">
        <v>21</v>
      </c>
      <c r="X729" s="68" t="s">
        <v>23</v>
      </c>
      <c r="Y729" s="68" t="s">
        <v>61</v>
      </c>
      <c r="Z729" s="70"/>
      <c r="AA729" s="32"/>
    </row>
    <row r="730" spans="1:27" s="29" customFormat="1" ht="21.4" customHeight="1" x14ac:dyDescent="0.2">
      <c r="A730" s="30"/>
      <c r="D730" s="35"/>
      <c r="E730" s="35"/>
      <c r="F730" s="35"/>
      <c r="G730" s="35"/>
      <c r="H730" s="35"/>
      <c r="J730" s="36" t="s">
        <v>1</v>
      </c>
      <c r="K730" s="37">
        <v>22000</v>
      </c>
      <c r="L730" s="38"/>
      <c r="N730" s="71"/>
      <c r="O730" s="72" t="s">
        <v>47</v>
      </c>
      <c r="P730" s="72"/>
      <c r="Q730" s="72"/>
      <c r="R730" s="72">
        <f>15-Q730</f>
        <v>15</v>
      </c>
      <c r="S730" s="73"/>
      <c r="T730" s="72" t="s">
        <v>47</v>
      </c>
      <c r="U730" s="74"/>
      <c r="V730" s="74"/>
      <c r="W730" s="74">
        <f>V730+U730</f>
        <v>0</v>
      </c>
      <c r="X730" s="74"/>
      <c r="Y730" s="74">
        <f>W730-X730</f>
        <v>0</v>
      </c>
      <c r="Z730" s="70"/>
    </row>
    <row r="731" spans="1:27" s="29" customFormat="1" ht="21.4" customHeight="1" x14ac:dyDescent="0.2">
      <c r="A731" s="30"/>
      <c r="B731" s="29" t="s">
        <v>0</v>
      </c>
      <c r="C731" s="40" t="s">
        <v>246</v>
      </c>
      <c r="H731" s="41"/>
      <c r="I731" s="35"/>
      <c r="L731" s="42"/>
      <c r="M731" s="28"/>
      <c r="N731" s="75"/>
      <c r="O731" s="72" t="s">
        <v>73</v>
      </c>
      <c r="P731" s="72"/>
      <c r="Q731" s="72"/>
      <c r="R731" s="72">
        <f>R730-Q731</f>
        <v>15</v>
      </c>
      <c r="S731" s="63"/>
      <c r="T731" s="72" t="s">
        <v>73</v>
      </c>
      <c r="U731" s="109"/>
      <c r="V731" s="74"/>
      <c r="W731" s="109" t="str">
        <f>IF(U731="","",U731+V731)</f>
        <v/>
      </c>
      <c r="X731" s="74"/>
      <c r="Y731" s="109" t="str">
        <f>IF(W731="","",W731-X731)</f>
        <v/>
      </c>
      <c r="Z731" s="76"/>
      <c r="AA731" s="28"/>
    </row>
    <row r="732" spans="1:27" s="29" customFormat="1" ht="21.4" customHeight="1" x14ac:dyDescent="0.2">
      <c r="A732" s="30"/>
      <c r="B732" s="44" t="s">
        <v>43</v>
      </c>
      <c r="C732" s="45"/>
      <c r="F732" s="468" t="s">
        <v>45</v>
      </c>
      <c r="G732" s="468"/>
      <c r="I732" s="468" t="s">
        <v>46</v>
      </c>
      <c r="J732" s="468"/>
      <c r="K732" s="468"/>
      <c r="L732" s="46"/>
      <c r="N732" s="71"/>
      <c r="O732" s="72" t="s">
        <v>48</v>
      </c>
      <c r="P732" s="72"/>
      <c r="Q732" s="72"/>
      <c r="R732" s="72">
        <f>R731-Q732</f>
        <v>15</v>
      </c>
      <c r="S732" s="63"/>
      <c r="T732" s="72" t="s">
        <v>48</v>
      </c>
      <c r="U732" s="109"/>
      <c r="V732" s="74"/>
      <c r="W732" s="109" t="str">
        <f t="shared" ref="W732:W741" si="155">IF(U732="","",U732+V732)</f>
        <v/>
      </c>
      <c r="X732" s="74"/>
      <c r="Y732" s="109" t="str">
        <f t="shared" ref="Y732:Y741" si="156">IF(W732="","",W732-X732)</f>
        <v/>
      </c>
      <c r="Z732" s="76"/>
    </row>
    <row r="733" spans="1:27" s="29" customFormat="1" ht="21.4" customHeight="1" x14ac:dyDescent="0.2">
      <c r="A733" s="30"/>
      <c r="H733" s="47"/>
      <c r="L733" s="34"/>
      <c r="N733" s="71"/>
      <c r="O733" s="72" t="s">
        <v>49</v>
      </c>
      <c r="P733" s="72"/>
      <c r="Q733" s="72"/>
      <c r="R733" s="72">
        <v>0</v>
      </c>
      <c r="S733" s="63"/>
      <c r="T733" s="72" t="s">
        <v>49</v>
      </c>
      <c r="U733" s="109"/>
      <c r="V733" s="74"/>
      <c r="W733" s="109" t="str">
        <f t="shared" si="155"/>
        <v/>
      </c>
      <c r="X733" s="74"/>
      <c r="Y733" s="109" t="str">
        <f t="shared" si="156"/>
        <v/>
      </c>
      <c r="Z733" s="76"/>
    </row>
    <row r="734" spans="1:27" s="29" customFormat="1" ht="21.4" customHeight="1" x14ac:dyDescent="0.2">
      <c r="A734" s="30"/>
      <c r="B734" s="472" t="s">
        <v>44</v>
      </c>
      <c r="C734" s="473"/>
      <c r="F734" s="48" t="s">
        <v>66</v>
      </c>
      <c r="G734" s="116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6760</v>
      </c>
      <c r="H734" s="47"/>
      <c r="I734" s="49">
        <f>IF(C738&gt;0,$K$2,C736)</f>
        <v>30</v>
      </c>
      <c r="J734" s="50" t="s">
        <v>63</v>
      </c>
      <c r="K734" s="51">
        <f>K730/$K$2*I734</f>
        <v>21290.322580645159</v>
      </c>
      <c r="L734" s="52"/>
      <c r="N734" s="71"/>
      <c r="O734" s="72" t="s">
        <v>50</v>
      </c>
      <c r="P734" s="72">
        <v>5</v>
      </c>
      <c r="Q734" s="72">
        <v>0</v>
      </c>
      <c r="R734" s="72">
        <v>0</v>
      </c>
      <c r="S734" s="63"/>
      <c r="T734" s="72" t="s">
        <v>50</v>
      </c>
      <c r="U734" s="109">
        <v>0</v>
      </c>
      <c r="V734" s="74">
        <v>5000</v>
      </c>
      <c r="W734" s="109">
        <f t="shared" si="155"/>
        <v>5000</v>
      </c>
      <c r="X734" s="74"/>
      <c r="Y734" s="109">
        <f t="shared" si="156"/>
        <v>5000</v>
      </c>
      <c r="Z734" s="76"/>
    </row>
    <row r="735" spans="1:27" s="29" customFormat="1" ht="21.4" customHeight="1" x14ac:dyDescent="0.2">
      <c r="A735" s="30"/>
      <c r="B735" s="39"/>
      <c r="C735" s="39"/>
      <c r="F735" s="48" t="s">
        <v>22</v>
      </c>
      <c r="G735" s="116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7"/>
      <c r="I735" s="84">
        <v>49</v>
      </c>
      <c r="J735" s="50" t="s">
        <v>64</v>
      </c>
      <c r="K735" s="53">
        <f>K730/$K$2/8*I735</f>
        <v>4346.7741935483864</v>
      </c>
      <c r="L735" s="54"/>
      <c r="N735" s="71"/>
      <c r="O735" s="72" t="s">
        <v>51</v>
      </c>
      <c r="P735" s="72">
        <v>30</v>
      </c>
      <c r="Q735" s="72">
        <v>0</v>
      </c>
      <c r="R735" s="72">
        <v>0</v>
      </c>
      <c r="S735" s="63"/>
      <c r="T735" s="72" t="s">
        <v>51</v>
      </c>
      <c r="U735" s="109">
        <f>Y734</f>
        <v>5000</v>
      </c>
      <c r="V735" s="74">
        <f>2000+760</f>
        <v>2760</v>
      </c>
      <c r="W735" s="109">
        <f t="shared" si="155"/>
        <v>7760</v>
      </c>
      <c r="X735" s="74">
        <v>2000</v>
      </c>
      <c r="Y735" s="109">
        <f t="shared" si="156"/>
        <v>5760</v>
      </c>
      <c r="Z735" s="76"/>
    </row>
    <row r="736" spans="1:27" s="29" customFormat="1" ht="21.4" customHeight="1" x14ac:dyDescent="0.2">
      <c r="A736" s="30"/>
      <c r="B736" s="48" t="s">
        <v>7</v>
      </c>
      <c r="C736" s="39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30</v>
      </c>
      <c r="F736" s="48" t="s">
        <v>67</v>
      </c>
      <c r="G736" s="116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6760</v>
      </c>
      <c r="H736" s="47"/>
      <c r="I736" s="456" t="s">
        <v>71</v>
      </c>
      <c r="J736" s="457"/>
      <c r="K736" s="53">
        <f>K734+K735</f>
        <v>25637.096774193546</v>
      </c>
      <c r="L736" s="54"/>
      <c r="N736" s="71"/>
      <c r="O736" s="72" t="s">
        <v>52</v>
      </c>
      <c r="P736" s="72">
        <v>31</v>
      </c>
      <c r="Q736" s="72">
        <v>0</v>
      </c>
      <c r="R736" s="72">
        <f t="shared" ref="R736" si="157">IF(Q736="","",R735-Q736)</f>
        <v>0</v>
      </c>
      <c r="S736" s="63"/>
      <c r="T736" s="72" t="s">
        <v>52</v>
      </c>
      <c r="U736" s="109">
        <f>Y735</f>
        <v>5760</v>
      </c>
      <c r="V736" s="74"/>
      <c r="W736" s="109">
        <f t="shared" si="155"/>
        <v>5760</v>
      </c>
      <c r="X736" s="74"/>
      <c r="Y736" s="109">
        <f t="shared" si="156"/>
        <v>5760</v>
      </c>
      <c r="Z736" s="76"/>
    </row>
    <row r="737" spans="1:27" s="29" customFormat="1" ht="21.4" customHeight="1" x14ac:dyDescent="0.2">
      <c r="A737" s="30"/>
      <c r="B737" s="48" t="s">
        <v>6</v>
      </c>
      <c r="C737" s="39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1</v>
      </c>
      <c r="F737" s="48" t="s">
        <v>23</v>
      </c>
      <c r="G737" s="116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7"/>
      <c r="I737" s="456" t="s">
        <v>72</v>
      </c>
      <c r="J737" s="457"/>
      <c r="K737" s="43">
        <f>G737</f>
        <v>2000</v>
      </c>
      <c r="L737" s="55"/>
      <c r="N737" s="71"/>
      <c r="O737" s="72" t="s">
        <v>53</v>
      </c>
      <c r="P737" s="72">
        <v>31</v>
      </c>
      <c r="Q737" s="72">
        <v>0</v>
      </c>
      <c r="R737" s="72">
        <v>0</v>
      </c>
      <c r="S737" s="63"/>
      <c r="T737" s="72" t="s">
        <v>53</v>
      </c>
      <c r="U737" s="109">
        <f>Y736</f>
        <v>5760</v>
      </c>
      <c r="V737" s="74"/>
      <c r="W737" s="109">
        <f t="shared" si="155"/>
        <v>5760</v>
      </c>
      <c r="X737" s="74">
        <v>2000</v>
      </c>
      <c r="Y737" s="109">
        <f t="shared" si="156"/>
        <v>3760</v>
      </c>
      <c r="Z737" s="76"/>
    </row>
    <row r="738" spans="1:27" s="29" customFormat="1" ht="21.4" customHeight="1" x14ac:dyDescent="0.2">
      <c r="A738" s="30"/>
      <c r="B738" s="56" t="s">
        <v>70</v>
      </c>
      <c r="C738" s="39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F738" s="48" t="s">
        <v>69</v>
      </c>
      <c r="G738" s="116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4760</v>
      </c>
      <c r="I738" s="458" t="s">
        <v>65</v>
      </c>
      <c r="J738" s="459"/>
      <c r="K738" s="57">
        <f>K736-K737</f>
        <v>23637.096774193546</v>
      </c>
      <c r="L738" s="58"/>
      <c r="N738" s="71"/>
      <c r="O738" s="72" t="s">
        <v>58</v>
      </c>
      <c r="P738" s="72">
        <v>30</v>
      </c>
      <c r="Q738" s="72">
        <v>0</v>
      </c>
      <c r="R738" s="72">
        <v>0</v>
      </c>
      <c r="S738" s="63"/>
      <c r="T738" s="72" t="s">
        <v>58</v>
      </c>
      <c r="U738" s="109">
        <f>Y737</f>
        <v>3760</v>
      </c>
      <c r="V738" s="74">
        <v>5000</v>
      </c>
      <c r="W738" s="109">
        <f t="shared" si="155"/>
        <v>8760</v>
      </c>
      <c r="X738" s="74">
        <v>2000</v>
      </c>
      <c r="Y738" s="109">
        <f t="shared" si="156"/>
        <v>6760</v>
      </c>
      <c r="Z738" s="76"/>
    </row>
    <row r="739" spans="1:27" s="29" customFormat="1" ht="21.4" customHeight="1" x14ac:dyDescent="0.2">
      <c r="A739" s="30"/>
      <c r="L739" s="46"/>
      <c r="N739" s="71"/>
      <c r="O739" s="72" t="s">
        <v>54</v>
      </c>
      <c r="P739" s="72">
        <v>30</v>
      </c>
      <c r="Q739" s="72">
        <v>1</v>
      </c>
      <c r="R739" s="72">
        <v>0</v>
      </c>
      <c r="S739" s="63"/>
      <c r="T739" s="72" t="s">
        <v>54</v>
      </c>
      <c r="U739" s="109">
        <f>IF($J$1="September","",Y738)</f>
        <v>6760</v>
      </c>
      <c r="V739" s="74"/>
      <c r="W739" s="109">
        <f t="shared" si="155"/>
        <v>6760</v>
      </c>
      <c r="X739" s="74">
        <v>2000</v>
      </c>
      <c r="Y739" s="109">
        <f t="shared" si="156"/>
        <v>4760</v>
      </c>
      <c r="Z739" s="76"/>
    </row>
    <row r="740" spans="1:27" s="29" customFormat="1" ht="21.4" customHeight="1" x14ac:dyDescent="0.2">
      <c r="A740" s="30"/>
      <c r="B740" s="455" t="s">
        <v>94</v>
      </c>
      <c r="C740" s="455"/>
      <c r="D740" s="455"/>
      <c r="E740" s="455"/>
      <c r="F740" s="455"/>
      <c r="G740" s="455"/>
      <c r="H740" s="455"/>
      <c r="I740" s="455"/>
      <c r="J740" s="455"/>
      <c r="K740" s="455"/>
      <c r="L740" s="46"/>
      <c r="N740" s="71"/>
      <c r="O740" s="72" t="s">
        <v>59</v>
      </c>
      <c r="P740" s="72"/>
      <c r="Q740" s="72"/>
      <c r="R740" s="72">
        <v>0</v>
      </c>
      <c r="S740" s="63"/>
      <c r="T740" s="72" t="s">
        <v>59</v>
      </c>
      <c r="U740" s="109" t="str">
        <f>IF($J$1="October","",Y739)</f>
        <v/>
      </c>
      <c r="V740" s="74"/>
      <c r="W740" s="109" t="str">
        <f t="shared" si="155"/>
        <v/>
      </c>
      <c r="X740" s="74"/>
      <c r="Y740" s="109" t="str">
        <f t="shared" si="156"/>
        <v/>
      </c>
      <c r="Z740" s="76"/>
    </row>
    <row r="741" spans="1:27" s="29" customFormat="1" ht="21.4" customHeight="1" x14ac:dyDescent="0.2">
      <c r="A741" s="30"/>
      <c r="B741" s="455"/>
      <c r="C741" s="455"/>
      <c r="D741" s="455"/>
      <c r="E741" s="455"/>
      <c r="F741" s="455"/>
      <c r="G741" s="455"/>
      <c r="H741" s="455"/>
      <c r="I741" s="455"/>
      <c r="J741" s="455"/>
      <c r="K741" s="455"/>
      <c r="L741" s="46"/>
      <c r="N741" s="71"/>
      <c r="O741" s="72" t="s">
        <v>60</v>
      </c>
      <c r="P741" s="72"/>
      <c r="Q741" s="72"/>
      <c r="R741" s="72">
        <v>0</v>
      </c>
      <c r="S741" s="63"/>
      <c r="T741" s="72" t="s">
        <v>60</v>
      </c>
      <c r="U741" s="109" t="str">
        <f>IF($J$1="November","",Y740)</f>
        <v/>
      </c>
      <c r="V741" s="74"/>
      <c r="W741" s="109" t="str">
        <f t="shared" si="155"/>
        <v/>
      </c>
      <c r="X741" s="74"/>
      <c r="Y741" s="109" t="str">
        <f t="shared" si="156"/>
        <v/>
      </c>
      <c r="Z741" s="76"/>
    </row>
    <row r="742" spans="1:27" s="29" customFormat="1" ht="21.4" customHeight="1" thickBot="1" x14ac:dyDescent="0.25">
      <c r="A742" s="5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1"/>
      <c r="N742" s="77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9"/>
    </row>
    <row r="743" spans="1:27" s="29" customFormat="1" ht="21.4" customHeight="1" thickBot="1" x14ac:dyDescent="0.25"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7" s="29" customFormat="1" ht="21.4" hidden="1" customHeight="1" x14ac:dyDescent="0.2">
      <c r="A744" s="474" t="s">
        <v>42</v>
      </c>
      <c r="B744" s="475"/>
      <c r="C744" s="475"/>
      <c r="D744" s="475"/>
      <c r="E744" s="475"/>
      <c r="F744" s="475"/>
      <c r="G744" s="475"/>
      <c r="H744" s="475"/>
      <c r="I744" s="475"/>
      <c r="J744" s="475"/>
      <c r="K744" s="475"/>
      <c r="L744" s="476"/>
      <c r="M744" s="28"/>
      <c r="N744" s="64"/>
      <c r="O744" s="469" t="s">
        <v>44</v>
      </c>
      <c r="P744" s="470"/>
      <c r="Q744" s="470"/>
      <c r="R744" s="471"/>
      <c r="S744" s="65"/>
      <c r="T744" s="469" t="s">
        <v>45</v>
      </c>
      <c r="U744" s="470"/>
      <c r="V744" s="470"/>
      <c r="W744" s="470"/>
      <c r="X744" s="470"/>
      <c r="Y744" s="471"/>
      <c r="Z744" s="66"/>
      <c r="AA744" s="28"/>
    </row>
    <row r="745" spans="1:27" s="29" customFormat="1" ht="21.4" hidden="1" customHeight="1" x14ac:dyDescent="0.2">
      <c r="A745" s="30"/>
      <c r="C745" s="466" t="s">
        <v>92</v>
      </c>
      <c r="D745" s="466"/>
      <c r="E745" s="466"/>
      <c r="F745" s="466"/>
      <c r="G745" s="31" t="str">
        <f>$J$1</f>
        <v>October</v>
      </c>
      <c r="H745" s="467">
        <f>$K$1</f>
        <v>2022</v>
      </c>
      <c r="I745" s="467"/>
      <c r="K745" s="32"/>
      <c r="L745" s="33"/>
      <c r="M745" s="32"/>
      <c r="N745" s="67"/>
      <c r="O745" s="68" t="s">
        <v>55</v>
      </c>
      <c r="P745" s="68" t="s">
        <v>7</v>
      </c>
      <c r="Q745" s="68" t="s">
        <v>6</v>
      </c>
      <c r="R745" s="68" t="s">
        <v>56</v>
      </c>
      <c r="S745" s="69"/>
      <c r="T745" s="68" t="s">
        <v>55</v>
      </c>
      <c r="U745" s="68" t="s">
        <v>57</v>
      </c>
      <c r="V745" s="68" t="s">
        <v>22</v>
      </c>
      <c r="W745" s="68" t="s">
        <v>21</v>
      </c>
      <c r="X745" s="68" t="s">
        <v>23</v>
      </c>
      <c r="Y745" s="68" t="s">
        <v>61</v>
      </c>
      <c r="Z745" s="70"/>
      <c r="AA745" s="32"/>
    </row>
    <row r="746" spans="1:27" s="29" customFormat="1" ht="21.4" hidden="1" customHeight="1" x14ac:dyDescent="0.2">
      <c r="A746" s="30"/>
      <c r="D746" s="35"/>
      <c r="E746" s="35"/>
      <c r="F746" s="35"/>
      <c r="G746" s="35"/>
      <c r="H746" s="35"/>
      <c r="J746" s="36" t="s">
        <v>1</v>
      </c>
      <c r="K746" s="37"/>
      <c r="L746" s="38"/>
      <c r="N746" s="71"/>
      <c r="O746" s="72" t="s">
        <v>47</v>
      </c>
      <c r="P746" s="72">
        <v>22</v>
      </c>
      <c r="Q746" s="72">
        <v>9</v>
      </c>
      <c r="R746" s="72"/>
      <c r="S746" s="73"/>
      <c r="T746" s="72" t="s">
        <v>47</v>
      </c>
      <c r="U746" s="74"/>
      <c r="V746" s="74"/>
      <c r="W746" s="74">
        <f>V746+U746</f>
        <v>0</v>
      </c>
      <c r="X746" s="74"/>
      <c r="Y746" s="74">
        <f>W746-X746</f>
        <v>0</v>
      </c>
      <c r="Z746" s="70"/>
    </row>
    <row r="747" spans="1:27" s="29" customFormat="1" ht="21.4" hidden="1" customHeight="1" x14ac:dyDescent="0.2">
      <c r="A747" s="30"/>
      <c r="B747" s="29" t="s">
        <v>0</v>
      </c>
      <c r="C747" s="40"/>
      <c r="H747" s="41"/>
      <c r="I747" s="35"/>
      <c r="L747" s="42"/>
      <c r="M747" s="28"/>
      <c r="N747" s="75"/>
      <c r="O747" s="72" t="s">
        <v>73</v>
      </c>
      <c r="P747" s="72"/>
      <c r="Q747" s="72"/>
      <c r="R747" s="72" t="str">
        <f t="shared" ref="R747:R754" si="158">IF(Q747="","",R746-Q747)</f>
        <v/>
      </c>
      <c r="S747" s="63"/>
      <c r="T747" s="72" t="s">
        <v>73</v>
      </c>
      <c r="U747" s="109">
        <f>Y746</f>
        <v>0</v>
      </c>
      <c r="V747" s="74"/>
      <c r="W747" s="109">
        <f>IF(U747="","",U747+V747)</f>
        <v>0</v>
      </c>
      <c r="X747" s="74"/>
      <c r="Y747" s="109">
        <f>IF(W747="","",W747-X747)</f>
        <v>0</v>
      </c>
      <c r="Z747" s="76"/>
      <c r="AA747" s="28"/>
    </row>
    <row r="748" spans="1:27" s="29" customFormat="1" ht="21.4" hidden="1" customHeight="1" x14ac:dyDescent="0.2">
      <c r="A748" s="30"/>
      <c r="B748" s="44" t="s">
        <v>43</v>
      </c>
      <c r="C748" s="45"/>
      <c r="F748" s="468" t="s">
        <v>45</v>
      </c>
      <c r="G748" s="468"/>
      <c r="I748" s="468" t="s">
        <v>46</v>
      </c>
      <c r="J748" s="468"/>
      <c r="K748" s="468"/>
      <c r="L748" s="46"/>
      <c r="N748" s="71"/>
      <c r="O748" s="72" t="s">
        <v>48</v>
      </c>
      <c r="P748" s="72"/>
      <c r="Q748" s="72"/>
      <c r="R748" s="72" t="str">
        <f t="shared" si="158"/>
        <v/>
      </c>
      <c r="S748" s="63"/>
      <c r="T748" s="72" t="s">
        <v>48</v>
      </c>
      <c r="U748" s="109">
        <f>IF($J$1="April",Y747,Y747)</f>
        <v>0</v>
      </c>
      <c r="V748" s="74"/>
      <c r="W748" s="109">
        <f t="shared" ref="W748:W757" si="159">IF(U748="","",U748+V748)</f>
        <v>0</v>
      </c>
      <c r="X748" s="74"/>
      <c r="Y748" s="109">
        <f t="shared" ref="Y748:Y757" si="160">IF(W748="","",W748-X748)</f>
        <v>0</v>
      </c>
      <c r="Z748" s="76"/>
    </row>
    <row r="749" spans="1:27" s="29" customFormat="1" ht="21.4" hidden="1" customHeight="1" x14ac:dyDescent="0.2">
      <c r="A749" s="30"/>
      <c r="H749" s="47"/>
      <c r="L749" s="34"/>
      <c r="N749" s="71"/>
      <c r="O749" s="72" t="s">
        <v>49</v>
      </c>
      <c r="P749" s="72"/>
      <c r="Q749" s="72"/>
      <c r="R749" s="72">
        <v>0</v>
      </c>
      <c r="S749" s="63"/>
      <c r="T749" s="72" t="s">
        <v>49</v>
      </c>
      <c r="U749" s="109">
        <f>IF($J$1="April",Y748,Y748)</f>
        <v>0</v>
      </c>
      <c r="V749" s="74"/>
      <c r="W749" s="109">
        <f t="shared" si="159"/>
        <v>0</v>
      </c>
      <c r="X749" s="74"/>
      <c r="Y749" s="109">
        <f t="shared" si="160"/>
        <v>0</v>
      </c>
      <c r="Z749" s="76"/>
    </row>
    <row r="750" spans="1:27" s="29" customFormat="1" ht="21.4" hidden="1" customHeight="1" x14ac:dyDescent="0.2">
      <c r="A750" s="30"/>
      <c r="B750" s="472" t="s">
        <v>44</v>
      </c>
      <c r="C750" s="473"/>
      <c r="F750" s="48" t="s">
        <v>66</v>
      </c>
      <c r="G750" s="43" t="str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/>
      </c>
      <c r="H750" s="47"/>
      <c r="I750" s="49"/>
      <c r="J750" s="50" t="s">
        <v>63</v>
      </c>
      <c r="K750" s="51">
        <f>K746/$K$2*I750</f>
        <v>0</v>
      </c>
      <c r="L750" s="52"/>
      <c r="N750" s="71"/>
      <c r="O750" s="72" t="s">
        <v>50</v>
      </c>
      <c r="P750" s="72"/>
      <c r="Q750" s="72"/>
      <c r="R750" s="72">
        <v>0</v>
      </c>
      <c r="S750" s="63"/>
      <c r="T750" s="72" t="s">
        <v>50</v>
      </c>
      <c r="U750" s="109">
        <f>IF($J$1="May",Y749,Y749)</f>
        <v>0</v>
      </c>
      <c r="V750" s="74"/>
      <c r="W750" s="109">
        <f t="shared" si="159"/>
        <v>0</v>
      </c>
      <c r="X750" s="74"/>
      <c r="Y750" s="109">
        <f t="shared" si="160"/>
        <v>0</v>
      </c>
      <c r="Z750" s="76"/>
    </row>
    <row r="751" spans="1:27" s="29" customFormat="1" ht="21.4" hidden="1" customHeight="1" x14ac:dyDescent="0.2">
      <c r="A751" s="30"/>
      <c r="B751" s="39"/>
      <c r="C751" s="39"/>
      <c r="F751" s="48" t="s">
        <v>22</v>
      </c>
      <c r="G751" s="43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7"/>
      <c r="I751" s="84"/>
      <c r="J751" s="50" t="s">
        <v>64</v>
      </c>
      <c r="K751" s="53">
        <f>K746/$K$2/8*I751</f>
        <v>0</v>
      </c>
      <c r="L751" s="54"/>
      <c r="N751" s="71"/>
      <c r="O751" s="72" t="s">
        <v>51</v>
      </c>
      <c r="P751" s="72"/>
      <c r="Q751" s="72"/>
      <c r="R751" s="72" t="str">
        <f t="shared" si="158"/>
        <v/>
      </c>
      <c r="S751" s="63"/>
      <c r="T751" s="72" t="s">
        <v>51</v>
      </c>
      <c r="U751" s="109">
        <f>IF($J$1="May",Y750,Y750)</f>
        <v>0</v>
      </c>
      <c r="V751" s="74"/>
      <c r="W751" s="109">
        <f t="shared" si="159"/>
        <v>0</v>
      </c>
      <c r="X751" s="74"/>
      <c r="Y751" s="109">
        <f t="shared" si="160"/>
        <v>0</v>
      </c>
      <c r="Z751" s="76"/>
    </row>
    <row r="752" spans="1:27" s="29" customFormat="1" ht="21.4" hidden="1" customHeight="1" x14ac:dyDescent="0.2">
      <c r="A752" s="30"/>
      <c r="B752" s="48" t="s">
        <v>7</v>
      </c>
      <c r="C752" s="39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F752" s="48" t="s">
        <v>67</v>
      </c>
      <c r="G752" s="43" t="str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/>
      </c>
      <c r="H752" s="47"/>
      <c r="I752" s="456" t="s">
        <v>71</v>
      </c>
      <c r="J752" s="457"/>
      <c r="K752" s="53">
        <f>K750+K751</f>
        <v>0</v>
      </c>
      <c r="L752" s="54"/>
      <c r="N752" s="71"/>
      <c r="O752" s="72" t="s">
        <v>52</v>
      </c>
      <c r="P752" s="72"/>
      <c r="Q752" s="72"/>
      <c r="R752" s="72">
        <v>0</v>
      </c>
      <c r="S752" s="63"/>
      <c r="T752" s="72" t="s">
        <v>52</v>
      </c>
      <c r="U752" s="109" t="str">
        <f>IF($J$1="July",Y751,"")</f>
        <v/>
      </c>
      <c r="V752" s="74"/>
      <c r="W752" s="109" t="str">
        <f t="shared" si="159"/>
        <v/>
      </c>
      <c r="X752" s="74"/>
      <c r="Y752" s="109" t="str">
        <f t="shared" si="160"/>
        <v/>
      </c>
      <c r="Z752" s="76"/>
    </row>
    <row r="753" spans="1:27" s="29" customFormat="1" ht="21.4" hidden="1" customHeight="1" x14ac:dyDescent="0.2">
      <c r="A753" s="30"/>
      <c r="B753" s="48" t="s">
        <v>6</v>
      </c>
      <c r="C753" s="39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F753" s="48" t="s">
        <v>23</v>
      </c>
      <c r="G753" s="43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7"/>
      <c r="I753" s="456" t="s">
        <v>72</v>
      </c>
      <c r="J753" s="457"/>
      <c r="K753" s="43">
        <f>G753</f>
        <v>0</v>
      </c>
      <c r="L753" s="55"/>
      <c r="N753" s="71"/>
      <c r="O753" s="72" t="s">
        <v>53</v>
      </c>
      <c r="P753" s="72"/>
      <c r="Q753" s="72"/>
      <c r="R753" s="72">
        <v>0</v>
      </c>
      <c r="S753" s="63"/>
      <c r="T753" s="72" t="s">
        <v>53</v>
      </c>
      <c r="U753" s="109" t="str">
        <f>IF($J$1="August",Y752,"")</f>
        <v/>
      </c>
      <c r="V753" s="74"/>
      <c r="W753" s="109" t="str">
        <f t="shared" si="159"/>
        <v/>
      </c>
      <c r="X753" s="74"/>
      <c r="Y753" s="109" t="str">
        <f t="shared" si="160"/>
        <v/>
      </c>
      <c r="Z753" s="76"/>
    </row>
    <row r="754" spans="1:27" s="29" customFormat="1" ht="21.4" hidden="1" customHeight="1" x14ac:dyDescent="0.2">
      <c r="A754" s="30"/>
      <c r="B754" s="56" t="s">
        <v>70</v>
      </c>
      <c r="C754" s="39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F754" s="48" t="s">
        <v>69</v>
      </c>
      <c r="G754" s="43" t="str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/>
      </c>
      <c r="I754" s="458" t="s">
        <v>65</v>
      </c>
      <c r="J754" s="459"/>
      <c r="K754" s="57">
        <f>K752-K753</f>
        <v>0</v>
      </c>
      <c r="L754" s="58"/>
      <c r="N754" s="71"/>
      <c r="O754" s="72" t="s">
        <v>58</v>
      </c>
      <c r="P754" s="72"/>
      <c r="Q754" s="72"/>
      <c r="R754" s="72" t="str">
        <f t="shared" si="158"/>
        <v/>
      </c>
      <c r="S754" s="63"/>
      <c r="T754" s="72" t="s">
        <v>58</v>
      </c>
      <c r="U754" s="109" t="str">
        <f>IF($J$1="May",Y753,Y753)</f>
        <v/>
      </c>
      <c r="V754" s="74"/>
      <c r="W754" s="109" t="str">
        <f t="shared" si="159"/>
        <v/>
      </c>
      <c r="X754" s="74"/>
      <c r="Y754" s="109" t="str">
        <f t="shared" si="160"/>
        <v/>
      </c>
      <c r="Z754" s="76"/>
    </row>
    <row r="755" spans="1:27" s="29" customFormat="1" ht="21.4" hidden="1" customHeight="1" x14ac:dyDescent="0.2">
      <c r="A755" s="30"/>
      <c r="L755" s="46"/>
      <c r="N755" s="71"/>
      <c r="O755" s="72" t="s">
        <v>54</v>
      </c>
      <c r="P755" s="72"/>
      <c r="Q755" s="72"/>
      <c r="R755" s="72">
        <v>0</v>
      </c>
      <c r="S755" s="63"/>
      <c r="T755" s="72" t="s">
        <v>54</v>
      </c>
      <c r="U755" s="109" t="str">
        <f t="shared" ref="U755:U757" si="161">Y754</f>
        <v/>
      </c>
      <c r="V755" s="74"/>
      <c r="W755" s="109" t="str">
        <f t="shared" si="159"/>
        <v/>
      </c>
      <c r="X755" s="74"/>
      <c r="Y755" s="109" t="str">
        <f t="shared" si="160"/>
        <v/>
      </c>
      <c r="Z755" s="76"/>
    </row>
    <row r="756" spans="1:27" s="29" customFormat="1" ht="21.4" hidden="1" customHeight="1" x14ac:dyDescent="0.2">
      <c r="A756" s="30"/>
      <c r="B756" s="455" t="s">
        <v>94</v>
      </c>
      <c r="C756" s="455"/>
      <c r="D756" s="455"/>
      <c r="E756" s="455"/>
      <c r="F756" s="455"/>
      <c r="G756" s="455"/>
      <c r="H756" s="455"/>
      <c r="I756" s="455"/>
      <c r="J756" s="455"/>
      <c r="K756" s="455"/>
      <c r="L756" s="46"/>
      <c r="N756" s="71"/>
      <c r="O756" s="72" t="s">
        <v>59</v>
      </c>
      <c r="P756" s="72"/>
      <c r="Q756" s="72"/>
      <c r="R756" s="72">
        <v>0</v>
      </c>
      <c r="S756" s="63"/>
      <c r="T756" s="72" t="s">
        <v>59</v>
      </c>
      <c r="U756" s="109" t="str">
        <f t="shared" si="161"/>
        <v/>
      </c>
      <c r="V756" s="74"/>
      <c r="W756" s="109"/>
      <c r="X756" s="74"/>
      <c r="Y756" s="109" t="str">
        <f t="shared" si="160"/>
        <v/>
      </c>
      <c r="Z756" s="76"/>
    </row>
    <row r="757" spans="1:27" s="29" customFormat="1" ht="21.4" hidden="1" customHeight="1" x14ac:dyDescent="0.2">
      <c r="A757" s="30"/>
      <c r="B757" s="455"/>
      <c r="C757" s="455"/>
      <c r="D757" s="455"/>
      <c r="E757" s="455"/>
      <c r="F757" s="455"/>
      <c r="G757" s="455"/>
      <c r="H757" s="455"/>
      <c r="I757" s="455"/>
      <c r="J757" s="455"/>
      <c r="K757" s="455"/>
      <c r="L757" s="46"/>
      <c r="N757" s="71"/>
      <c r="O757" s="72" t="s">
        <v>60</v>
      </c>
      <c r="P757" s="72"/>
      <c r="Q757" s="72"/>
      <c r="R757" s="72">
        <v>0</v>
      </c>
      <c r="S757" s="63"/>
      <c r="T757" s="72" t="s">
        <v>60</v>
      </c>
      <c r="U757" s="109" t="str">
        <f t="shared" si="161"/>
        <v/>
      </c>
      <c r="V757" s="74"/>
      <c r="W757" s="109" t="str">
        <f t="shared" si="159"/>
        <v/>
      </c>
      <c r="X757" s="74"/>
      <c r="Y757" s="109" t="str">
        <f t="shared" si="160"/>
        <v/>
      </c>
      <c r="Z757" s="76"/>
    </row>
    <row r="758" spans="1:27" s="29" customFormat="1" ht="21.4" hidden="1" customHeight="1" thickBot="1" x14ac:dyDescent="0.25">
      <c r="A758" s="5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1"/>
      <c r="N758" s="77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9"/>
    </row>
    <row r="759" spans="1:27" s="29" customFormat="1" ht="21.4" hidden="1" customHeight="1" thickBot="1" x14ac:dyDescent="0.25"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7" s="29" customFormat="1" ht="21.4" hidden="1" customHeight="1" x14ac:dyDescent="0.2">
      <c r="A760" s="463" t="s">
        <v>42</v>
      </c>
      <c r="B760" s="464"/>
      <c r="C760" s="464"/>
      <c r="D760" s="464"/>
      <c r="E760" s="464"/>
      <c r="F760" s="464"/>
      <c r="G760" s="464"/>
      <c r="H760" s="464"/>
      <c r="I760" s="464"/>
      <c r="J760" s="464"/>
      <c r="K760" s="464"/>
      <c r="L760" s="465"/>
      <c r="M760" s="28"/>
      <c r="N760" s="64"/>
      <c r="O760" s="469" t="s">
        <v>44</v>
      </c>
      <c r="P760" s="470"/>
      <c r="Q760" s="470"/>
      <c r="R760" s="471"/>
      <c r="S760" s="65"/>
      <c r="T760" s="469" t="s">
        <v>45</v>
      </c>
      <c r="U760" s="470"/>
      <c r="V760" s="470"/>
      <c r="W760" s="470"/>
      <c r="X760" s="470"/>
      <c r="Y760" s="471"/>
      <c r="Z760" s="66"/>
      <c r="AA760" s="28"/>
    </row>
    <row r="761" spans="1:27" s="29" customFormat="1" ht="21.4" hidden="1" customHeight="1" x14ac:dyDescent="0.2">
      <c r="A761" s="30"/>
      <c r="C761" s="466" t="s">
        <v>92</v>
      </c>
      <c r="D761" s="466"/>
      <c r="E761" s="466"/>
      <c r="F761" s="466"/>
      <c r="G761" s="31" t="str">
        <f>$J$1</f>
        <v>October</v>
      </c>
      <c r="H761" s="467">
        <f>$K$1</f>
        <v>2022</v>
      </c>
      <c r="I761" s="467"/>
      <c r="K761" s="32"/>
      <c r="L761" s="33"/>
      <c r="M761" s="32"/>
      <c r="N761" s="67"/>
      <c r="O761" s="68" t="s">
        <v>55</v>
      </c>
      <c r="P761" s="68" t="s">
        <v>7</v>
      </c>
      <c r="Q761" s="68" t="s">
        <v>6</v>
      </c>
      <c r="R761" s="68" t="s">
        <v>56</v>
      </c>
      <c r="S761" s="69"/>
      <c r="T761" s="68" t="s">
        <v>55</v>
      </c>
      <c r="U761" s="68" t="s">
        <v>57</v>
      </c>
      <c r="V761" s="68" t="s">
        <v>22</v>
      </c>
      <c r="W761" s="68" t="s">
        <v>21</v>
      </c>
      <c r="X761" s="68" t="s">
        <v>23</v>
      </c>
      <c r="Y761" s="68" t="s">
        <v>61</v>
      </c>
      <c r="Z761" s="70"/>
      <c r="AA761" s="32"/>
    </row>
    <row r="762" spans="1:27" s="29" customFormat="1" ht="21.4" hidden="1" customHeight="1" x14ac:dyDescent="0.2">
      <c r="A762" s="30"/>
      <c r="D762" s="35"/>
      <c r="E762" s="35"/>
      <c r="F762" s="35"/>
      <c r="G762" s="35"/>
      <c r="H762" s="35"/>
      <c r="J762" s="36" t="s">
        <v>1</v>
      </c>
      <c r="K762" s="37"/>
      <c r="L762" s="38"/>
      <c r="N762" s="71"/>
      <c r="O762" s="72" t="s">
        <v>47</v>
      </c>
      <c r="P762" s="72"/>
      <c r="Q762" s="72"/>
      <c r="R762" s="72"/>
      <c r="S762" s="73"/>
      <c r="T762" s="72" t="s">
        <v>47</v>
      </c>
      <c r="U762" s="74"/>
      <c r="V762" s="74"/>
      <c r="W762" s="74">
        <f>V762+U762</f>
        <v>0</v>
      </c>
      <c r="X762" s="74"/>
      <c r="Y762" s="74">
        <f>W762-X762</f>
        <v>0</v>
      </c>
      <c r="Z762" s="70"/>
    </row>
    <row r="763" spans="1:27" s="29" customFormat="1" ht="21.4" hidden="1" customHeight="1" x14ac:dyDescent="0.2">
      <c r="A763" s="30"/>
      <c r="B763" s="29" t="s">
        <v>0</v>
      </c>
      <c r="C763" s="40"/>
      <c r="H763" s="41"/>
      <c r="I763" s="35"/>
      <c r="L763" s="42"/>
      <c r="M763" s="28"/>
      <c r="N763" s="75"/>
      <c r="O763" s="72" t="s">
        <v>73</v>
      </c>
      <c r="P763" s="72"/>
      <c r="Q763" s="72"/>
      <c r="R763" s="72" t="str">
        <f>IF(Q763="","",R762-Q763)</f>
        <v/>
      </c>
      <c r="S763" s="63"/>
      <c r="T763" s="72" t="s">
        <v>73</v>
      </c>
      <c r="U763" s="109">
        <f>Y762</f>
        <v>0</v>
      </c>
      <c r="V763" s="74"/>
      <c r="W763" s="109">
        <f>IF(U763="","",U763+V763)</f>
        <v>0</v>
      </c>
      <c r="X763" s="74"/>
      <c r="Y763" s="109">
        <f>IF(W763="","",W763-X763)</f>
        <v>0</v>
      </c>
      <c r="Z763" s="76"/>
      <c r="AA763" s="28"/>
    </row>
    <row r="764" spans="1:27" s="29" customFormat="1" ht="21.4" hidden="1" customHeight="1" x14ac:dyDescent="0.2">
      <c r="A764" s="30"/>
      <c r="B764" s="44" t="s">
        <v>43</v>
      </c>
      <c r="C764" s="45"/>
      <c r="F764" s="468" t="s">
        <v>45</v>
      </c>
      <c r="G764" s="468"/>
      <c r="I764" s="468" t="s">
        <v>46</v>
      </c>
      <c r="J764" s="468"/>
      <c r="K764" s="468"/>
      <c r="L764" s="46"/>
      <c r="N764" s="71"/>
      <c r="O764" s="72" t="s">
        <v>48</v>
      </c>
      <c r="P764" s="72"/>
      <c r="Q764" s="72"/>
      <c r="R764" s="72" t="str">
        <f t="shared" ref="R764:R773" si="162">IF(Q764="","",R763-Q764)</f>
        <v/>
      </c>
      <c r="S764" s="63"/>
      <c r="T764" s="72" t="s">
        <v>48</v>
      </c>
      <c r="U764" s="109">
        <f>IF($J$1="April",Y763,Y763)</f>
        <v>0</v>
      </c>
      <c r="V764" s="74"/>
      <c r="W764" s="109">
        <f t="shared" ref="W764:W773" si="163">IF(U764="","",U764+V764)</f>
        <v>0</v>
      </c>
      <c r="X764" s="74"/>
      <c r="Y764" s="109">
        <f t="shared" ref="Y764:Y773" si="164">IF(W764="","",W764-X764)</f>
        <v>0</v>
      </c>
      <c r="Z764" s="76"/>
    </row>
    <row r="765" spans="1:27" s="29" customFormat="1" ht="21.4" hidden="1" customHeight="1" x14ac:dyDescent="0.2">
      <c r="A765" s="30"/>
      <c r="H765" s="47"/>
      <c r="L765" s="34"/>
      <c r="N765" s="71"/>
      <c r="O765" s="72" t="s">
        <v>49</v>
      </c>
      <c r="P765" s="72"/>
      <c r="Q765" s="72"/>
      <c r="R765" s="72" t="str">
        <f t="shared" si="162"/>
        <v/>
      </c>
      <c r="S765" s="63"/>
      <c r="T765" s="72" t="s">
        <v>49</v>
      </c>
      <c r="U765" s="109">
        <f>IF($J$1="April",Y764,Y764)</f>
        <v>0</v>
      </c>
      <c r="V765" s="74"/>
      <c r="W765" s="109">
        <f t="shared" si="163"/>
        <v>0</v>
      </c>
      <c r="X765" s="74"/>
      <c r="Y765" s="109">
        <f t="shared" si="164"/>
        <v>0</v>
      </c>
      <c r="Z765" s="76"/>
    </row>
    <row r="766" spans="1:27" s="29" customFormat="1" ht="21.4" hidden="1" customHeight="1" x14ac:dyDescent="0.2">
      <c r="A766" s="30"/>
      <c r="B766" s="472" t="s">
        <v>44</v>
      </c>
      <c r="C766" s="473"/>
      <c r="F766" s="48" t="s">
        <v>66</v>
      </c>
      <c r="G766" s="43" t="str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/>
      </c>
      <c r="H766" s="47"/>
      <c r="I766" s="49"/>
      <c r="J766" s="50" t="s">
        <v>63</v>
      </c>
      <c r="K766" s="51">
        <f>K762/$K$2*I766</f>
        <v>0</v>
      </c>
      <c r="L766" s="52"/>
      <c r="N766" s="71"/>
      <c r="O766" s="72" t="s">
        <v>50</v>
      </c>
      <c r="P766" s="72"/>
      <c r="Q766" s="72"/>
      <c r="R766" s="72" t="str">
        <f t="shared" si="162"/>
        <v/>
      </c>
      <c r="S766" s="63"/>
      <c r="T766" s="72" t="s">
        <v>50</v>
      </c>
      <c r="U766" s="109">
        <f>IF($J$1="May",Y765,Y765)</f>
        <v>0</v>
      </c>
      <c r="V766" s="74"/>
      <c r="W766" s="109">
        <f t="shared" si="163"/>
        <v>0</v>
      </c>
      <c r="X766" s="74"/>
      <c r="Y766" s="109">
        <f t="shared" si="164"/>
        <v>0</v>
      </c>
      <c r="Z766" s="76"/>
    </row>
    <row r="767" spans="1:27" s="29" customFormat="1" ht="21.4" hidden="1" customHeight="1" x14ac:dyDescent="0.2">
      <c r="A767" s="30"/>
      <c r="B767" s="39"/>
      <c r="C767" s="39"/>
      <c r="F767" s="48" t="s">
        <v>22</v>
      </c>
      <c r="G767" s="43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7"/>
      <c r="I767" s="84"/>
      <c r="J767" s="50" t="s">
        <v>64</v>
      </c>
      <c r="K767" s="53">
        <f>K762/$K$2/8*I767</f>
        <v>0</v>
      </c>
      <c r="L767" s="54"/>
      <c r="N767" s="71"/>
      <c r="O767" s="72" t="s">
        <v>51</v>
      </c>
      <c r="P767" s="72"/>
      <c r="Q767" s="72"/>
      <c r="R767" s="72" t="str">
        <f t="shared" si="162"/>
        <v/>
      </c>
      <c r="S767" s="63"/>
      <c r="T767" s="72" t="s">
        <v>51</v>
      </c>
      <c r="U767" s="109">
        <f>IF($J$1="May",Y766,Y766)</f>
        <v>0</v>
      </c>
      <c r="V767" s="74"/>
      <c r="W767" s="109">
        <f t="shared" si="163"/>
        <v>0</v>
      </c>
      <c r="X767" s="74"/>
      <c r="Y767" s="109">
        <f t="shared" si="164"/>
        <v>0</v>
      </c>
      <c r="Z767" s="76"/>
    </row>
    <row r="768" spans="1:27" s="29" customFormat="1" ht="21.4" hidden="1" customHeight="1" x14ac:dyDescent="0.2">
      <c r="A768" s="30"/>
      <c r="B768" s="48" t="s">
        <v>7</v>
      </c>
      <c r="C768" s="39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F768" s="48" t="s">
        <v>67</v>
      </c>
      <c r="G768" s="43" t="str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/>
      </c>
      <c r="H768" s="47"/>
      <c r="I768" s="456" t="s">
        <v>71</v>
      </c>
      <c r="J768" s="457"/>
      <c r="K768" s="53">
        <f>K766+K767</f>
        <v>0</v>
      </c>
      <c r="L768" s="54"/>
      <c r="N768" s="71"/>
      <c r="O768" s="72" t="s">
        <v>52</v>
      </c>
      <c r="P768" s="72"/>
      <c r="Q768" s="72"/>
      <c r="R768" s="72" t="str">
        <f t="shared" si="162"/>
        <v/>
      </c>
      <c r="S768" s="63"/>
      <c r="T768" s="72" t="s">
        <v>52</v>
      </c>
      <c r="U768" s="109" t="str">
        <f>IF($J$1="July",Y767,"")</f>
        <v/>
      </c>
      <c r="V768" s="74"/>
      <c r="W768" s="109" t="str">
        <f t="shared" si="163"/>
        <v/>
      </c>
      <c r="X768" s="74"/>
      <c r="Y768" s="109" t="str">
        <f t="shared" si="164"/>
        <v/>
      </c>
      <c r="Z768" s="76"/>
    </row>
    <row r="769" spans="1:27" s="29" customFormat="1" ht="21.4" hidden="1" customHeight="1" x14ac:dyDescent="0.2">
      <c r="A769" s="30"/>
      <c r="B769" s="48" t="s">
        <v>6</v>
      </c>
      <c r="C769" s="39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F769" s="48" t="s">
        <v>23</v>
      </c>
      <c r="G769" s="43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7"/>
      <c r="I769" s="456" t="s">
        <v>72</v>
      </c>
      <c r="J769" s="457"/>
      <c r="K769" s="43">
        <f>G769</f>
        <v>0</v>
      </c>
      <c r="L769" s="55"/>
      <c r="N769" s="71"/>
      <c r="O769" s="72" t="s">
        <v>53</v>
      </c>
      <c r="P769" s="72"/>
      <c r="Q769" s="72"/>
      <c r="R769" s="72" t="str">
        <f t="shared" si="162"/>
        <v/>
      </c>
      <c r="S769" s="63"/>
      <c r="T769" s="72" t="s">
        <v>53</v>
      </c>
      <c r="U769" s="109" t="str">
        <f>IF($J$1="August",Y768,"")</f>
        <v/>
      </c>
      <c r="V769" s="74"/>
      <c r="W769" s="109" t="str">
        <f t="shared" si="163"/>
        <v/>
      </c>
      <c r="X769" s="74"/>
      <c r="Y769" s="109" t="str">
        <f t="shared" si="164"/>
        <v/>
      </c>
      <c r="Z769" s="76"/>
    </row>
    <row r="770" spans="1:27" s="29" customFormat="1" ht="21.4" hidden="1" customHeight="1" x14ac:dyDescent="0.2">
      <c r="A770" s="30"/>
      <c r="B770" s="56" t="s">
        <v>70</v>
      </c>
      <c r="C770" s="39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F770" s="48" t="s">
        <v>69</v>
      </c>
      <c r="G770" s="43" t="str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/>
      </c>
      <c r="I770" s="458" t="s">
        <v>65</v>
      </c>
      <c r="J770" s="459"/>
      <c r="K770" s="57">
        <f>K768-K769</f>
        <v>0</v>
      </c>
      <c r="L770" s="58"/>
      <c r="N770" s="71"/>
      <c r="O770" s="72" t="s">
        <v>58</v>
      </c>
      <c r="P770" s="72"/>
      <c r="Q770" s="72"/>
      <c r="R770" s="72" t="str">
        <f t="shared" si="162"/>
        <v/>
      </c>
      <c r="S770" s="63"/>
      <c r="T770" s="72" t="s">
        <v>58</v>
      </c>
      <c r="U770" s="109" t="str">
        <f>IF($J$1="Sept",Y769,"")</f>
        <v/>
      </c>
      <c r="V770" s="74"/>
      <c r="W770" s="109" t="str">
        <f t="shared" si="163"/>
        <v/>
      </c>
      <c r="X770" s="74"/>
      <c r="Y770" s="109" t="str">
        <f t="shared" si="164"/>
        <v/>
      </c>
      <c r="Z770" s="76"/>
    </row>
    <row r="771" spans="1:27" s="29" customFormat="1" ht="21.4" hidden="1" customHeight="1" x14ac:dyDescent="0.2">
      <c r="A771" s="30"/>
      <c r="L771" s="46"/>
      <c r="N771" s="71"/>
      <c r="O771" s="72" t="s">
        <v>54</v>
      </c>
      <c r="P771" s="72"/>
      <c r="Q771" s="72"/>
      <c r="R771" s="72" t="str">
        <f t="shared" si="162"/>
        <v/>
      </c>
      <c r="S771" s="63"/>
      <c r="T771" s="72" t="s">
        <v>54</v>
      </c>
      <c r="U771" s="109" t="str">
        <f>IF($J$1="October",Y770,"")</f>
        <v/>
      </c>
      <c r="V771" s="74"/>
      <c r="W771" s="109" t="str">
        <f t="shared" si="163"/>
        <v/>
      </c>
      <c r="X771" s="74"/>
      <c r="Y771" s="109" t="str">
        <f t="shared" si="164"/>
        <v/>
      </c>
      <c r="Z771" s="76"/>
    </row>
    <row r="772" spans="1:27" s="29" customFormat="1" ht="21.4" hidden="1" customHeight="1" x14ac:dyDescent="0.2">
      <c r="A772" s="30"/>
      <c r="B772" s="455" t="s">
        <v>94</v>
      </c>
      <c r="C772" s="455"/>
      <c r="D772" s="455"/>
      <c r="E772" s="455"/>
      <c r="F772" s="455"/>
      <c r="G772" s="455"/>
      <c r="H772" s="455"/>
      <c r="I772" s="455"/>
      <c r="J772" s="455"/>
      <c r="K772" s="455"/>
      <c r="L772" s="46"/>
      <c r="N772" s="71"/>
      <c r="O772" s="72" t="s">
        <v>59</v>
      </c>
      <c r="P772" s="72"/>
      <c r="Q772" s="72"/>
      <c r="R772" s="72" t="str">
        <f t="shared" si="162"/>
        <v/>
      </c>
      <c r="S772" s="63"/>
      <c r="T772" s="72" t="s">
        <v>59</v>
      </c>
      <c r="U772" s="109" t="str">
        <f>IF($J$1="November",Y771,"")</f>
        <v/>
      </c>
      <c r="V772" s="74"/>
      <c r="W772" s="109" t="str">
        <f t="shared" si="163"/>
        <v/>
      </c>
      <c r="X772" s="74"/>
      <c r="Y772" s="109" t="str">
        <f t="shared" si="164"/>
        <v/>
      </c>
      <c r="Z772" s="76"/>
    </row>
    <row r="773" spans="1:27" s="29" customFormat="1" ht="21.4" hidden="1" customHeight="1" x14ac:dyDescent="0.2">
      <c r="A773" s="30"/>
      <c r="B773" s="455"/>
      <c r="C773" s="455"/>
      <c r="D773" s="455"/>
      <c r="E773" s="455"/>
      <c r="F773" s="455"/>
      <c r="G773" s="455"/>
      <c r="H773" s="455"/>
      <c r="I773" s="455"/>
      <c r="J773" s="455"/>
      <c r="K773" s="455"/>
      <c r="L773" s="46"/>
      <c r="N773" s="71"/>
      <c r="O773" s="72" t="s">
        <v>60</v>
      </c>
      <c r="P773" s="72"/>
      <c r="Q773" s="72"/>
      <c r="R773" s="72" t="str">
        <f t="shared" si="162"/>
        <v/>
      </c>
      <c r="S773" s="63"/>
      <c r="T773" s="72" t="s">
        <v>60</v>
      </c>
      <c r="U773" s="109" t="str">
        <f>IF($J$1="Dec",Y772,"")</f>
        <v/>
      </c>
      <c r="V773" s="74"/>
      <c r="W773" s="109" t="str">
        <f t="shared" si="163"/>
        <v/>
      </c>
      <c r="X773" s="74"/>
      <c r="Y773" s="109" t="str">
        <f t="shared" si="164"/>
        <v/>
      </c>
      <c r="Z773" s="76"/>
    </row>
    <row r="774" spans="1:27" s="29" customFormat="1" ht="21.4" hidden="1" customHeight="1" thickBot="1" x14ac:dyDescent="0.25">
      <c r="A774" s="5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1"/>
      <c r="N774" s="77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9"/>
    </row>
    <row r="775" spans="1:27" s="29" customFormat="1" ht="21.4" hidden="1" customHeight="1" thickBot="1" x14ac:dyDescent="0.25"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7" s="29" customFormat="1" ht="21.4" hidden="1" customHeight="1" x14ac:dyDescent="0.2">
      <c r="A776" s="537" t="s">
        <v>42</v>
      </c>
      <c r="B776" s="538"/>
      <c r="C776" s="538"/>
      <c r="D776" s="538"/>
      <c r="E776" s="538"/>
      <c r="F776" s="538"/>
      <c r="G776" s="538"/>
      <c r="H776" s="538"/>
      <c r="I776" s="538"/>
      <c r="J776" s="538"/>
      <c r="K776" s="538"/>
      <c r="L776" s="539"/>
      <c r="M776" s="28"/>
      <c r="N776" s="64"/>
      <c r="O776" s="469" t="s">
        <v>44</v>
      </c>
      <c r="P776" s="470"/>
      <c r="Q776" s="470"/>
      <c r="R776" s="471"/>
      <c r="S776" s="65"/>
      <c r="T776" s="469" t="s">
        <v>45</v>
      </c>
      <c r="U776" s="470"/>
      <c r="V776" s="470"/>
      <c r="W776" s="470"/>
      <c r="X776" s="470"/>
      <c r="Y776" s="471"/>
      <c r="Z776" s="66"/>
      <c r="AA776" s="28"/>
    </row>
    <row r="777" spans="1:27" s="29" customFormat="1" ht="21.4" hidden="1" customHeight="1" x14ac:dyDescent="0.2">
      <c r="A777" s="30"/>
      <c r="C777" s="466" t="s">
        <v>92</v>
      </c>
      <c r="D777" s="466"/>
      <c r="E777" s="466"/>
      <c r="F777" s="466"/>
      <c r="G777" s="31" t="str">
        <f>$J$1</f>
        <v>October</v>
      </c>
      <c r="H777" s="467">
        <f>$K$1</f>
        <v>2022</v>
      </c>
      <c r="I777" s="467"/>
      <c r="K777" s="32"/>
      <c r="L777" s="33"/>
      <c r="M777" s="32"/>
      <c r="N777" s="67"/>
      <c r="O777" s="68" t="s">
        <v>55</v>
      </c>
      <c r="P777" s="68" t="s">
        <v>7</v>
      </c>
      <c r="Q777" s="68" t="s">
        <v>6</v>
      </c>
      <c r="R777" s="68" t="s">
        <v>56</v>
      </c>
      <c r="S777" s="69"/>
      <c r="T777" s="68" t="s">
        <v>55</v>
      </c>
      <c r="U777" s="68" t="s">
        <v>57</v>
      </c>
      <c r="V777" s="68" t="s">
        <v>22</v>
      </c>
      <c r="W777" s="68" t="s">
        <v>21</v>
      </c>
      <c r="X777" s="68" t="s">
        <v>23</v>
      </c>
      <c r="Y777" s="68" t="s">
        <v>61</v>
      </c>
      <c r="Z777" s="70"/>
      <c r="AA777" s="32"/>
    </row>
    <row r="778" spans="1:27" s="29" customFormat="1" ht="21.4" hidden="1" customHeight="1" x14ac:dyDescent="0.2">
      <c r="A778" s="30"/>
      <c r="D778" s="35"/>
      <c r="E778" s="35"/>
      <c r="F778" s="35"/>
      <c r="G778" s="35"/>
      <c r="H778" s="35"/>
      <c r="J778" s="36" t="s">
        <v>1</v>
      </c>
      <c r="K778" s="37">
        <v>800</v>
      </c>
      <c r="L778" s="38"/>
      <c r="N778" s="71"/>
      <c r="O778" s="72" t="s">
        <v>47</v>
      </c>
      <c r="P778" s="72"/>
      <c r="Q778" s="72"/>
      <c r="R778" s="72">
        <v>0</v>
      </c>
      <c r="S778" s="73"/>
      <c r="T778" s="72" t="s">
        <v>47</v>
      </c>
      <c r="U778" s="74"/>
      <c r="V778" s="74"/>
      <c r="W778" s="74">
        <f>V778+U778</f>
        <v>0</v>
      </c>
      <c r="X778" s="74"/>
      <c r="Y778" s="74">
        <f>W778-X778</f>
        <v>0</v>
      </c>
      <c r="Z778" s="70"/>
    </row>
    <row r="779" spans="1:27" s="29" customFormat="1" ht="21.4" hidden="1" customHeight="1" x14ac:dyDescent="0.2">
      <c r="A779" s="30"/>
      <c r="B779" s="29" t="s">
        <v>0</v>
      </c>
      <c r="C779" s="40"/>
      <c r="H779" s="41"/>
      <c r="I779" s="35"/>
      <c r="L779" s="42"/>
      <c r="M779" s="28"/>
      <c r="N779" s="75"/>
      <c r="O779" s="72" t="s">
        <v>73</v>
      </c>
      <c r="P779" s="72"/>
      <c r="Q779" s="72"/>
      <c r="R779" s="72" t="str">
        <f>IF(Q779="","",R778-Q779)</f>
        <v/>
      </c>
      <c r="S779" s="63"/>
      <c r="T779" s="72" t="s">
        <v>73</v>
      </c>
      <c r="U779" s="109"/>
      <c r="V779" s="74"/>
      <c r="W779" s="109" t="str">
        <f>IF(U779="","",U779+V779)</f>
        <v/>
      </c>
      <c r="X779" s="74"/>
      <c r="Y779" s="109" t="str">
        <f>IF(W779="","",W779-X779)</f>
        <v/>
      </c>
      <c r="Z779" s="76"/>
      <c r="AA779" s="28"/>
    </row>
    <row r="780" spans="1:27" s="29" customFormat="1" ht="21.4" hidden="1" customHeight="1" x14ac:dyDescent="0.2">
      <c r="A780" s="30"/>
      <c r="B780" s="44" t="s">
        <v>43</v>
      </c>
      <c r="C780" s="45"/>
      <c r="F780" s="468" t="s">
        <v>45</v>
      </c>
      <c r="G780" s="468"/>
      <c r="I780" s="468" t="s">
        <v>46</v>
      </c>
      <c r="J780" s="468"/>
      <c r="K780" s="468"/>
      <c r="L780" s="46"/>
      <c r="N780" s="71"/>
      <c r="O780" s="72" t="s">
        <v>48</v>
      </c>
      <c r="P780" s="72"/>
      <c r="Q780" s="72"/>
      <c r="R780" s="72" t="str">
        <f t="shared" ref="R780:R789" si="165">IF(Q780="","",R779-Q780)</f>
        <v/>
      </c>
      <c r="S780" s="63"/>
      <c r="T780" s="72" t="s">
        <v>48</v>
      </c>
      <c r="U780" s="109"/>
      <c r="V780" s="74"/>
      <c r="W780" s="109" t="str">
        <f t="shared" ref="W780:W789" si="166">IF(U780="","",U780+V780)</f>
        <v/>
      </c>
      <c r="X780" s="74"/>
      <c r="Y780" s="109" t="str">
        <f t="shared" ref="Y780:Y789" si="167">IF(W780="","",W780-X780)</f>
        <v/>
      </c>
      <c r="Z780" s="76"/>
    </row>
    <row r="781" spans="1:27" s="29" customFormat="1" ht="21.4" hidden="1" customHeight="1" x14ac:dyDescent="0.2">
      <c r="A781" s="30"/>
      <c r="H781" s="47"/>
      <c r="L781" s="34"/>
      <c r="N781" s="71"/>
      <c r="O781" s="72" t="s">
        <v>49</v>
      </c>
      <c r="P781" s="72"/>
      <c r="Q781" s="72"/>
      <c r="R781" s="72" t="str">
        <f t="shared" si="165"/>
        <v/>
      </c>
      <c r="S781" s="63"/>
      <c r="T781" s="72" t="s">
        <v>49</v>
      </c>
      <c r="U781" s="109"/>
      <c r="V781" s="74"/>
      <c r="W781" s="109" t="str">
        <f t="shared" si="166"/>
        <v/>
      </c>
      <c r="X781" s="74"/>
      <c r="Y781" s="109" t="str">
        <f t="shared" si="167"/>
        <v/>
      </c>
      <c r="Z781" s="76"/>
    </row>
    <row r="782" spans="1:27" s="29" customFormat="1" ht="21.4" hidden="1" customHeight="1" x14ac:dyDescent="0.2">
      <c r="A782" s="30"/>
      <c r="B782" s="472" t="s">
        <v>44</v>
      </c>
      <c r="C782" s="473"/>
      <c r="F782" s="48" t="s">
        <v>66</v>
      </c>
      <c r="G782" s="43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47"/>
      <c r="I782" s="49">
        <v>31</v>
      </c>
      <c r="J782" s="50" t="s">
        <v>63</v>
      </c>
      <c r="K782" s="51">
        <f>K778*I782</f>
        <v>24800</v>
      </c>
      <c r="L782" s="52"/>
      <c r="N782" s="71"/>
      <c r="O782" s="72" t="s">
        <v>50</v>
      </c>
      <c r="P782" s="72"/>
      <c r="Q782" s="72"/>
      <c r="R782" s="72" t="str">
        <f t="shared" si="165"/>
        <v/>
      </c>
      <c r="S782" s="63"/>
      <c r="T782" s="72" t="s">
        <v>50</v>
      </c>
      <c r="U782" s="109"/>
      <c r="V782" s="74"/>
      <c r="W782" s="109" t="str">
        <f t="shared" si="166"/>
        <v/>
      </c>
      <c r="X782" s="74"/>
      <c r="Y782" s="109" t="str">
        <f t="shared" si="167"/>
        <v/>
      </c>
      <c r="Z782" s="76"/>
    </row>
    <row r="783" spans="1:27" s="29" customFormat="1" ht="21.4" hidden="1" customHeight="1" x14ac:dyDescent="0.2">
      <c r="A783" s="30"/>
      <c r="B783" s="39"/>
      <c r="C783" s="39"/>
      <c r="F783" s="48" t="s">
        <v>22</v>
      </c>
      <c r="G783" s="43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47"/>
      <c r="I783" s="49"/>
      <c r="J783" s="50" t="s">
        <v>64</v>
      </c>
      <c r="K783" s="53">
        <f>K778/8*I783</f>
        <v>0</v>
      </c>
      <c r="L783" s="54"/>
      <c r="N783" s="71"/>
      <c r="O783" s="72" t="s">
        <v>51</v>
      </c>
      <c r="P783" s="72"/>
      <c r="Q783" s="72"/>
      <c r="R783" s="72" t="str">
        <f t="shared" si="165"/>
        <v/>
      </c>
      <c r="S783" s="63"/>
      <c r="T783" s="72" t="s">
        <v>51</v>
      </c>
      <c r="U783" s="109"/>
      <c r="V783" s="74"/>
      <c r="W783" s="109" t="str">
        <f t="shared" si="166"/>
        <v/>
      </c>
      <c r="X783" s="74"/>
      <c r="Y783" s="109" t="str">
        <f t="shared" si="167"/>
        <v/>
      </c>
      <c r="Z783" s="76"/>
    </row>
    <row r="784" spans="1:27" s="29" customFormat="1" ht="21.4" hidden="1" customHeight="1" x14ac:dyDescent="0.2">
      <c r="A784" s="30"/>
      <c r="B784" s="48" t="s">
        <v>7</v>
      </c>
      <c r="C784" s="39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F784" s="48" t="s">
        <v>67</v>
      </c>
      <c r="G784" s="43" t="str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/>
      </c>
      <c r="H784" s="47"/>
      <c r="I784" s="456" t="s">
        <v>71</v>
      </c>
      <c r="J784" s="457"/>
      <c r="K784" s="53">
        <f>K782+K783</f>
        <v>24800</v>
      </c>
      <c r="L784" s="54"/>
      <c r="N784" s="71"/>
      <c r="O784" s="72" t="s">
        <v>52</v>
      </c>
      <c r="P784" s="72"/>
      <c r="Q784" s="72"/>
      <c r="R784" s="72" t="str">
        <f t="shared" si="165"/>
        <v/>
      </c>
      <c r="S784" s="63"/>
      <c r="T784" s="72" t="s">
        <v>52</v>
      </c>
      <c r="U784" s="109"/>
      <c r="V784" s="74"/>
      <c r="W784" s="109" t="str">
        <f t="shared" si="166"/>
        <v/>
      </c>
      <c r="X784" s="74"/>
      <c r="Y784" s="109" t="str">
        <f t="shared" si="167"/>
        <v/>
      </c>
      <c r="Z784" s="76"/>
    </row>
    <row r="785" spans="1:26" s="29" customFormat="1" ht="21.4" hidden="1" customHeight="1" x14ac:dyDescent="0.2">
      <c r="A785" s="30"/>
      <c r="B785" s="48" t="s">
        <v>6</v>
      </c>
      <c r="C785" s="39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F785" s="48" t="s">
        <v>23</v>
      </c>
      <c r="G785" s="43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47"/>
      <c r="I785" s="456" t="s">
        <v>72</v>
      </c>
      <c r="J785" s="457"/>
      <c r="K785" s="43">
        <f>G785</f>
        <v>0</v>
      </c>
      <c r="L785" s="55"/>
      <c r="N785" s="71"/>
      <c r="O785" s="72" t="s">
        <v>53</v>
      </c>
      <c r="P785" s="72"/>
      <c r="Q785" s="72"/>
      <c r="R785" s="72" t="str">
        <f t="shared" si="165"/>
        <v/>
      </c>
      <c r="S785" s="63"/>
      <c r="T785" s="72" t="s">
        <v>53</v>
      </c>
      <c r="U785" s="109"/>
      <c r="V785" s="74"/>
      <c r="W785" s="109" t="str">
        <f t="shared" si="166"/>
        <v/>
      </c>
      <c r="X785" s="74"/>
      <c r="Y785" s="109" t="str">
        <f t="shared" si="167"/>
        <v/>
      </c>
      <c r="Z785" s="76"/>
    </row>
    <row r="786" spans="1:26" s="29" customFormat="1" ht="21.4" hidden="1" customHeight="1" x14ac:dyDescent="0.2">
      <c r="A786" s="30"/>
      <c r="B786" s="56" t="s">
        <v>70</v>
      </c>
      <c r="C786" s="39" t="str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/>
      </c>
      <c r="F786" s="48" t="s">
        <v>69</v>
      </c>
      <c r="G786" s="43" t="str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/>
      </c>
      <c r="I786" s="458" t="s">
        <v>65</v>
      </c>
      <c r="J786" s="459"/>
      <c r="K786" s="57"/>
      <c r="L786" s="58"/>
      <c r="N786" s="71"/>
      <c r="O786" s="72" t="s">
        <v>58</v>
      </c>
      <c r="P786" s="72"/>
      <c r="Q786" s="72"/>
      <c r="R786" s="72" t="str">
        <f t="shared" si="165"/>
        <v/>
      </c>
      <c r="S786" s="63"/>
      <c r="T786" s="72" t="s">
        <v>58</v>
      </c>
      <c r="U786" s="109"/>
      <c r="V786" s="74"/>
      <c r="W786" s="109" t="str">
        <f t="shared" si="166"/>
        <v/>
      </c>
      <c r="X786" s="74"/>
      <c r="Y786" s="109" t="str">
        <f t="shared" si="167"/>
        <v/>
      </c>
      <c r="Z786" s="76"/>
    </row>
    <row r="787" spans="1:26" s="29" customFormat="1" ht="21.4" hidden="1" customHeight="1" x14ac:dyDescent="0.2">
      <c r="A787" s="30"/>
      <c r="L787" s="46"/>
      <c r="N787" s="71"/>
      <c r="O787" s="72" t="s">
        <v>54</v>
      </c>
      <c r="P787" s="72"/>
      <c r="Q787" s="72"/>
      <c r="R787" s="72" t="str">
        <f t="shared" si="165"/>
        <v/>
      </c>
      <c r="S787" s="63"/>
      <c r="T787" s="72" t="s">
        <v>54</v>
      </c>
      <c r="U787" s="109"/>
      <c r="V787" s="74"/>
      <c r="W787" s="109" t="str">
        <f t="shared" si="166"/>
        <v/>
      </c>
      <c r="X787" s="74"/>
      <c r="Y787" s="109" t="str">
        <f t="shared" si="167"/>
        <v/>
      </c>
      <c r="Z787" s="76"/>
    </row>
    <row r="788" spans="1:26" s="29" customFormat="1" ht="21.4" hidden="1" customHeight="1" x14ac:dyDescent="0.2">
      <c r="A788" s="30"/>
      <c r="B788" s="455" t="s">
        <v>94</v>
      </c>
      <c r="C788" s="455"/>
      <c r="D788" s="455"/>
      <c r="E788" s="455"/>
      <c r="F788" s="455"/>
      <c r="G788" s="455"/>
      <c r="H788" s="455"/>
      <c r="I788" s="455"/>
      <c r="J788" s="455"/>
      <c r="K788" s="455"/>
      <c r="L788" s="46"/>
      <c r="N788" s="71"/>
      <c r="O788" s="72" t="s">
        <v>59</v>
      </c>
      <c r="P788" s="72"/>
      <c r="Q788" s="72"/>
      <c r="R788" s="72" t="str">
        <f t="shared" si="165"/>
        <v/>
      </c>
      <c r="S788" s="63"/>
      <c r="T788" s="72" t="s">
        <v>59</v>
      </c>
      <c r="U788" s="109"/>
      <c r="V788" s="74"/>
      <c r="W788" s="109" t="str">
        <f t="shared" si="166"/>
        <v/>
      </c>
      <c r="X788" s="74"/>
      <c r="Y788" s="109" t="str">
        <f t="shared" si="167"/>
        <v/>
      </c>
      <c r="Z788" s="76"/>
    </row>
    <row r="789" spans="1:26" s="29" customFormat="1" ht="21.4" hidden="1" customHeight="1" x14ac:dyDescent="0.2">
      <c r="A789" s="30"/>
      <c r="B789" s="455"/>
      <c r="C789" s="455"/>
      <c r="D789" s="455"/>
      <c r="E789" s="455"/>
      <c r="F789" s="455"/>
      <c r="G789" s="455"/>
      <c r="H789" s="455"/>
      <c r="I789" s="455"/>
      <c r="J789" s="455"/>
      <c r="K789" s="455"/>
      <c r="L789" s="46"/>
      <c r="N789" s="71"/>
      <c r="O789" s="72" t="s">
        <v>60</v>
      </c>
      <c r="P789" s="72"/>
      <c r="Q789" s="72"/>
      <c r="R789" s="72" t="str">
        <f t="shared" si="165"/>
        <v/>
      </c>
      <c r="S789" s="63"/>
      <c r="T789" s="72" t="s">
        <v>60</v>
      </c>
      <c r="U789" s="109"/>
      <c r="V789" s="74"/>
      <c r="W789" s="109" t="str">
        <f t="shared" si="166"/>
        <v/>
      </c>
      <c r="X789" s="74"/>
      <c r="Y789" s="109" t="str">
        <f t="shared" si="167"/>
        <v/>
      </c>
      <c r="Z789" s="76"/>
    </row>
    <row r="790" spans="1:26" s="29" customFormat="1" ht="21.4" hidden="1" customHeight="1" thickBot="1" x14ac:dyDescent="0.25">
      <c r="A790" s="5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1"/>
      <c r="N790" s="77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9"/>
    </row>
    <row r="791" spans="1:26" s="29" customFormat="1" ht="21.4" hidden="1" customHeight="1" x14ac:dyDescent="0.2">
      <c r="A791" s="506" t="s">
        <v>42</v>
      </c>
      <c r="B791" s="507"/>
      <c r="C791" s="507"/>
      <c r="D791" s="507"/>
      <c r="E791" s="507"/>
      <c r="F791" s="507"/>
      <c r="G791" s="507"/>
      <c r="H791" s="507"/>
      <c r="I791" s="507"/>
      <c r="J791" s="507"/>
      <c r="K791" s="507"/>
      <c r="L791" s="508"/>
      <c r="M791" s="28"/>
      <c r="N791" s="64"/>
      <c r="O791" s="469" t="s">
        <v>44</v>
      </c>
      <c r="P791" s="470"/>
      <c r="Q791" s="470"/>
      <c r="R791" s="471"/>
      <c r="S791" s="65"/>
      <c r="T791" s="469" t="s">
        <v>45</v>
      </c>
      <c r="U791" s="470"/>
      <c r="V791" s="470"/>
      <c r="W791" s="470"/>
      <c r="X791" s="470"/>
      <c r="Y791" s="471"/>
      <c r="Z791" s="63"/>
    </row>
    <row r="792" spans="1:26" s="29" customFormat="1" ht="21.4" hidden="1" customHeight="1" x14ac:dyDescent="0.2">
      <c r="A792" s="30"/>
      <c r="C792" s="466" t="s">
        <v>92</v>
      </c>
      <c r="D792" s="466"/>
      <c r="E792" s="466"/>
      <c r="F792" s="466"/>
      <c r="G792" s="31" t="str">
        <f>$J$1</f>
        <v>October</v>
      </c>
      <c r="H792" s="467">
        <f>$K$1</f>
        <v>2022</v>
      </c>
      <c r="I792" s="467"/>
      <c r="K792" s="32"/>
      <c r="L792" s="33"/>
      <c r="M792" s="32"/>
      <c r="N792" s="67"/>
      <c r="O792" s="68" t="s">
        <v>55</v>
      </c>
      <c r="P792" s="68" t="s">
        <v>7</v>
      </c>
      <c r="Q792" s="68" t="s">
        <v>6</v>
      </c>
      <c r="R792" s="68" t="s">
        <v>56</v>
      </c>
      <c r="S792" s="69"/>
      <c r="T792" s="68" t="s">
        <v>55</v>
      </c>
      <c r="U792" s="68" t="s">
        <v>57</v>
      </c>
      <c r="V792" s="68" t="s">
        <v>22</v>
      </c>
      <c r="W792" s="68" t="s">
        <v>21</v>
      </c>
      <c r="X792" s="68" t="s">
        <v>23</v>
      </c>
      <c r="Y792" s="68" t="s">
        <v>61</v>
      </c>
      <c r="Z792" s="63"/>
    </row>
    <row r="793" spans="1:26" s="29" customFormat="1" ht="21.4" hidden="1" customHeight="1" x14ac:dyDescent="0.2">
      <c r="A793" s="30"/>
      <c r="D793" s="35"/>
      <c r="E793" s="35"/>
      <c r="F793" s="35"/>
      <c r="G793" s="35"/>
      <c r="H793" s="35"/>
      <c r="J793" s="36" t="s">
        <v>1</v>
      </c>
      <c r="K793" s="37"/>
      <c r="L793" s="38"/>
      <c r="N793" s="71"/>
      <c r="O793" s="72" t="s">
        <v>47</v>
      </c>
      <c r="P793" s="72"/>
      <c r="Q793" s="72"/>
      <c r="R793" s="72">
        <v>0</v>
      </c>
      <c r="S793" s="73"/>
      <c r="T793" s="72" t="s">
        <v>47</v>
      </c>
      <c r="U793" s="74"/>
      <c r="V793" s="74"/>
      <c r="W793" s="74">
        <f>V793+U793</f>
        <v>0</v>
      </c>
      <c r="X793" s="74"/>
      <c r="Y793" s="74">
        <f>W793-X793</f>
        <v>0</v>
      </c>
      <c r="Z793" s="63"/>
    </row>
    <row r="794" spans="1:26" s="29" customFormat="1" ht="21.4" hidden="1" customHeight="1" x14ac:dyDescent="0.2">
      <c r="A794" s="30"/>
      <c r="B794" s="29" t="s">
        <v>0</v>
      </c>
      <c r="C794" s="40"/>
      <c r="H794" s="41"/>
      <c r="I794" s="35"/>
      <c r="L794" s="42"/>
      <c r="M794" s="28"/>
      <c r="N794" s="75"/>
      <c r="O794" s="72" t="s">
        <v>73</v>
      </c>
      <c r="P794" s="72"/>
      <c r="Q794" s="72"/>
      <c r="R794" s="72">
        <v>0</v>
      </c>
      <c r="S794" s="63"/>
      <c r="T794" s="72" t="s">
        <v>73</v>
      </c>
      <c r="U794" s="109">
        <f>Y793</f>
        <v>0</v>
      </c>
      <c r="V794" s="74"/>
      <c r="W794" s="109">
        <f>IF(U794="","",U794+V794)</f>
        <v>0</v>
      </c>
      <c r="X794" s="74"/>
      <c r="Y794" s="109">
        <f>IF(W794="","",W794-X794)</f>
        <v>0</v>
      </c>
      <c r="Z794" s="63"/>
    </row>
    <row r="795" spans="1:26" s="29" customFormat="1" ht="21.4" hidden="1" customHeight="1" x14ac:dyDescent="0.2">
      <c r="A795" s="30"/>
      <c r="B795" s="44" t="s">
        <v>43</v>
      </c>
      <c r="C795" s="45"/>
      <c r="F795" s="468" t="s">
        <v>45</v>
      </c>
      <c r="G795" s="468"/>
      <c r="I795" s="468" t="s">
        <v>46</v>
      </c>
      <c r="J795" s="468"/>
      <c r="K795" s="468"/>
      <c r="L795" s="46"/>
      <c r="N795" s="71"/>
      <c r="O795" s="72" t="s">
        <v>48</v>
      </c>
      <c r="P795" s="72"/>
      <c r="Q795" s="72"/>
      <c r="R795" s="72">
        <v>0</v>
      </c>
      <c r="S795" s="63"/>
      <c r="T795" s="72" t="s">
        <v>48</v>
      </c>
      <c r="U795" s="109">
        <f>IF($J$1="April",Y794,Y794)</f>
        <v>0</v>
      </c>
      <c r="V795" s="74"/>
      <c r="W795" s="109">
        <f t="shared" ref="W795:W804" si="168">IF(U795="","",U795+V795)</f>
        <v>0</v>
      </c>
      <c r="X795" s="74"/>
      <c r="Y795" s="109">
        <f t="shared" ref="Y795:Y804" si="169">IF(W795="","",W795-X795)</f>
        <v>0</v>
      </c>
      <c r="Z795" s="63"/>
    </row>
    <row r="796" spans="1:26" s="29" customFormat="1" ht="21.4" hidden="1" customHeight="1" x14ac:dyDescent="0.2">
      <c r="A796" s="30"/>
      <c r="H796" s="47"/>
      <c r="L796" s="34"/>
      <c r="N796" s="71"/>
      <c r="O796" s="72" t="s">
        <v>49</v>
      </c>
      <c r="P796" s="72"/>
      <c r="Q796" s="72"/>
      <c r="R796" s="72" t="str">
        <f t="shared" ref="R796:R804" si="170">IF(Q796="","",R795-Q796)</f>
        <v/>
      </c>
      <c r="S796" s="63"/>
      <c r="T796" s="72" t="s">
        <v>49</v>
      </c>
      <c r="U796" s="109">
        <f>IF($J$1="April",Y795,Y795)</f>
        <v>0</v>
      </c>
      <c r="V796" s="74"/>
      <c r="W796" s="109">
        <f t="shared" si="168"/>
        <v>0</v>
      </c>
      <c r="X796" s="74"/>
      <c r="Y796" s="109">
        <f t="shared" si="169"/>
        <v>0</v>
      </c>
      <c r="Z796" s="63"/>
    </row>
    <row r="797" spans="1:26" s="29" customFormat="1" ht="21.4" hidden="1" customHeight="1" x14ac:dyDescent="0.2">
      <c r="A797" s="30"/>
      <c r="B797" s="472" t="s">
        <v>44</v>
      </c>
      <c r="C797" s="473"/>
      <c r="F797" s="48" t="s">
        <v>66</v>
      </c>
      <c r="G797" s="43" t="str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/>
      </c>
      <c r="H797" s="47"/>
      <c r="I797" s="49"/>
      <c r="J797" s="50" t="s">
        <v>63</v>
      </c>
      <c r="K797" s="51">
        <f>K793/$K$2*I797</f>
        <v>0</v>
      </c>
      <c r="L797" s="52"/>
      <c r="N797" s="71"/>
      <c r="O797" s="72" t="s">
        <v>50</v>
      </c>
      <c r="P797" s="72"/>
      <c r="Q797" s="72"/>
      <c r="R797" s="72" t="str">
        <f t="shared" si="170"/>
        <v/>
      </c>
      <c r="S797" s="63"/>
      <c r="T797" s="72" t="s">
        <v>50</v>
      </c>
      <c r="U797" s="109">
        <f>IF($J$1="May",Y796,Y796)</f>
        <v>0</v>
      </c>
      <c r="V797" s="74"/>
      <c r="W797" s="109">
        <f t="shared" si="168"/>
        <v>0</v>
      </c>
      <c r="X797" s="74"/>
      <c r="Y797" s="109">
        <f t="shared" si="169"/>
        <v>0</v>
      </c>
      <c r="Z797" s="63"/>
    </row>
    <row r="798" spans="1:26" s="29" customFormat="1" ht="21.4" hidden="1" customHeight="1" x14ac:dyDescent="0.2">
      <c r="A798" s="30"/>
      <c r="B798" s="39"/>
      <c r="C798" s="39"/>
      <c r="F798" s="48" t="s">
        <v>22</v>
      </c>
      <c r="G798" s="43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7"/>
      <c r="I798" s="84"/>
      <c r="J798" s="50" t="s">
        <v>64</v>
      </c>
      <c r="K798" s="53">
        <f>K793/$K$2/8*I798</f>
        <v>0</v>
      </c>
      <c r="L798" s="54"/>
      <c r="N798" s="71"/>
      <c r="O798" s="72" t="s">
        <v>51</v>
      </c>
      <c r="P798" s="72"/>
      <c r="Q798" s="72"/>
      <c r="R798" s="72" t="str">
        <f t="shared" si="170"/>
        <v/>
      </c>
      <c r="S798" s="63"/>
      <c r="T798" s="72" t="s">
        <v>51</v>
      </c>
      <c r="U798" s="109">
        <f>IF($J$1="May",Y797,Y797)</f>
        <v>0</v>
      </c>
      <c r="V798" s="74"/>
      <c r="W798" s="109">
        <f t="shared" si="168"/>
        <v>0</v>
      </c>
      <c r="X798" s="74"/>
      <c r="Y798" s="109">
        <f t="shared" si="169"/>
        <v>0</v>
      </c>
      <c r="Z798" s="63"/>
    </row>
    <row r="799" spans="1:26" s="29" customFormat="1" ht="21.4" hidden="1" customHeight="1" x14ac:dyDescent="0.2">
      <c r="A799" s="30"/>
      <c r="B799" s="48" t="s">
        <v>7</v>
      </c>
      <c r="C799" s="39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F799" s="48" t="s">
        <v>67</v>
      </c>
      <c r="G799" s="43" t="str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/>
      </c>
      <c r="H799" s="47"/>
      <c r="I799" s="456" t="s">
        <v>71</v>
      </c>
      <c r="J799" s="457"/>
      <c r="K799" s="53">
        <f>K797+K798</f>
        <v>0</v>
      </c>
      <c r="L799" s="54"/>
      <c r="N799" s="71"/>
      <c r="O799" s="72" t="s">
        <v>52</v>
      </c>
      <c r="P799" s="72"/>
      <c r="Q799" s="72"/>
      <c r="R799" s="72" t="str">
        <f t="shared" si="170"/>
        <v/>
      </c>
      <c r="S799" s="63"/>
      <c r="T799" s="72" t="s">
        <v>52</v>
      </c>
      <c r="U799" s="109" t="str">
        <f>IF($J$1="July",Y798,"")</f>
        <v/>
      </c>
      <c r="V799" s="74"/>
      <c r="W799" s="109" t="str">
        <f t="shared" si="168"/>
        <v/>
      </c>
      <c r="X799" s="74"/>
      <c r="Y799" s="109" t="str">
        <f t="shared" si="169"/>
        <v/>
      </c>
      <c r="Z799" s="63"/>
    </row>
    <row r="800" spans="1:26" s="29" customFormat="1" ht="21.4" hidden="1" customHeight="1" x14ac:dyDescent="0.2">
      <c r="A800" s="30"/>
      <c r="B800" s="48" t="s">
        <v>6</v>
      </c>
      <c r="C800" s="39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F800" s="48" t="s">
        <v>23</v>
      </c>
      <c r="G800" s="43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7"/>
      <c r="I800" s="456" t="s">
        <v>72</v>
      </c>
      <c r="J800" s="457"/>
      <c r="K800" s="43">
        <f>G800</f>
        <v>0</v>
      </c>
      <c r="L800" s="55"/>
      <c r="N800" s="71"/>
      <c r="O800" s="72" t="s">
        <v>53</v>
      </c>
      <c r="P800" s="72"/>
      <c r="Q800" s="72"/>
      <c r="R800" s="72" t="str">
        <f t="shared" si="170"/>
        <v/>
      </c>
      <c r="S800" s="63"/>
      <c r="T800" s="72" t="s">
        <v>53</v>
      </c>
      <c r="U800" s="109" t="str">
        <f>IF($J$1="August",Y799,"")</f>
        <v/>
      </c>
      <c r="V800" s="74"/>
      <c r="W800" s="109" t="str">
        <f t="shared" si="168"/>
        <v/>
      </c>
      <c r="X800" s="74"/>
      <c r="Y800" s="109" t="str">
        <f t="shared" si="169"/>
        <v/>
      </c>
      <c r="Z800" s="63"/>
    </row>
    <row r="801" spans="1:27" s="29" customFormat="1" ht="21.4" hidden="1" customHeight="1" x14ac:dyDescent="0.2">
      <c r="A801" s="30"/>
      <c r="B801" s="56" t="s">
        <v>70</v>
      </c>
      <c r="C801" s="39" t="str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/>
      </c>
      <c r="F801" s="48" t="s">
        <v>69</v>
      </c>
      <c r="G801" s="43" t="str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/>
      </c>
      <c r="I801" s="458" t="s">
        <v>65</v>
      </c>
      <c r="J801" s="459"/>
      <c r="K801" s="57">
        <f>K799-K800</f>
        <v>0</v>
      </c>
      <c r="L801" s="58"/>
      <c r="N801" s="71"/>
      <c r="O801" s="72" t="s">
        <v>58</v>
      </c>
      <c r="P801" s="72"/>
      <c r="Q801" s="72"/>
      <c r="R801" s="72" t="str">
        <f t="shared" si="170"/>
        <v/>
      </c>
      <c r="S801" s="63"/>
      <c r="T801" s="72" t="s">
        <v>58</v>
      </c>
      <c r="U801" s="109" t="str">
        <f>IF($J$1="Sept",Y800,"")</f>
        <v/>
      </c>
      <c r="V801" s="74"/>
      <c r="W801" s="109" t="str">
        <f t="shared" si="168"/>
        <v/>
      </c>
      <c r="X801" s="74"/>
      <c r="Y801" s="109" t="str">
        <f t="shared" si="169"/>
        <v/>
      </c>
      <c r="Z801" s="63"/>
    </row>
    <row r="802" spans="1:27" s="29" customFormat="1" ht="21.4" hidden="1" customHeight="1" x14ac:dyDescent="0.2">
      <c r="A802" s="30"/>
      <c r="L802" s="46"/>
      <c r="N802" s="71"/>
      <c r="O802" s="72" t="s">
        <v>54</v>
      </c>
      <c r="P802" s="72"/>
      <c r="Q802" s="72"/>
      <c r="R802" s="72" t="str">
        <f t="shared" si="170"/>
        <v/>
      </c>
      <c r="S802" s="63"/>
      <c r="T802" s="72" t="s">
        <v>54</v>
      </c>
      <c r="U802" s="109" t="str">
        <f>IF($J$1="October",Y801,"")</f>
        <v/>
      </c>
      <c r="V802" s="74"/>
      <c r="W802" s="109" t="str">
        <f t="shared" si="168"/>
        <v/>
      </c>
      <c r="X802" s="74"/>
      <c r="Y802" s="109" t="str">
        <f t="shared" si="169"/>
        <v/>
      </c>
      <c r="Z802" s="63"/>
    </row>
    <row r="803" spans="1:27" s="29" customFormat="1" ht="21.4" hidden="1" customHeight="1" x14ac:dyDescent="0.2">
      <c r="A803" s="30"/>
      <c r="B803" s="455" t="s">
        <v>94</v>
      </c>
      <c r="C803" s="455"/>
      <c r="D803" s="455"/>
      <c r="E803" s="455"/>
      <c r="F803" s="455"/>
      <c r="G803" s="455"/>
      <c r="H803" s="455"/>
      <c r="I803" s="455"/>
      <c r="J803" s="455"/>
      <c r="K803" s="455"/>
      <c r="L803" s="46"/>
      <c r="N803" s="71"/>
      <c r="O803" s="72" t="s">
        <v>59</v>
      </c>
      <c r="P803" s="72"/>
      <c r="Q803" s="72"/>
      <c r="R803" s="72" t="str">
        <f t="shared" si="170"/>
        <v/>
      </c>
      <c r="S803" s="63"/>
      <c r="T803" s="72" t="s">
        <v>59</v>
      </c>
      <c r="U803" s="109" t="str">
        <f>IF($J$1="November",Y802,"")</f>
        <v/>
      </c>
      <c r="V803" s="74"/>
      <c r="W803" s="109" t="str">
        <f t="shared" si="168"/>
        <v/>
      </c>
      <c r="X803" s="74"/>
      <c r="Y803" s="109" t="str">
        <f t="shared" si="169"/>
        <v/>
      </c>
      <c r="Z803" s="63"/>
    </row>
    <row r="804" spans="1:27" s="29" customFormat="1" ht="21.4" hidden="1" customHeight="1" x14ac:dyDescent="0.2">
      <c r="A804" s="30"/>
      <c r="B804" s="455"/>
      <c r="C804" s="455"/>
      <c r="D804" s="455"/>
      <c r="E804" s="455"/>
      <c r="F804" s="455"/>
      <c r="G804" s="455"/>
      <c r="H804" s="455"/>
      <c r="I804" s="455"/>
      <c r="J804" s="455"/>
      <c r="K804" s="455"/>
      <c r="L804" s="46"/>
      <c r="N804" s="71"/>
      <c r="O804" s="72" t="s">
        <v>60</v>
      </c>
      <c r="P804" s="72"/>
      <c r="Q804" s="72"/>
      <c r="R804" s="72" t="str">
        <f t="shared" si="170"/>
        <v/>
      </c>
      <c r="S804" s="63"/>
      <c r="T804" s="72" t="s">
        <v>60</v>
      </c>
      <c r="U804" s="109" t="str">
        <f>IF($J$1="Dec",Y803,"")</f>
        <v/>
      </c>
      <c r="V804" s="74"/>
      <c r="W804" s="109" t="str">
        <f t="shared" si="168"/>
        <v/>
      </c>
      <c r="X804" s="74"/>
      <c r="Y804" s="109" t="str">
        <f t="shared" si="169"/>
        <v/>
      </c>
      <c r="Z804" s="63"/>
    </row>
    <row r="805" spans="1:27" s="29" customFormat="1" ht="21.4" hidden="1" customHeight="1" thickBot="1" x14ac:dyDescent="0.25">
      <c r="A805" s="5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1"/>
      <c r="N805" s="77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63"/>
    </row>
    <row r="806" spans="1:27" ht="21.4" hidden="1" customHeight="1" thickBot="1" x14ac:dyDescent="0.3"/>
    <row r="807" spans="1:27" s="29" customFormat="1" ht="21.4" hidden="1" customHeight="1" x14ac:dyDescent="0.2">
      <c r="A807" s="500" t="s">
        <v>42</v>
      </c>
      <c r="B807" s="501"/>
      <c r="C807" s="501"/>
      <c r="D807" s="501"/>
      <c r="E807" s="501"/>
      <c r="F807" s="501"/>
      <c r="G807" s="501"/>
      <c r="H807" s="501"/>
      <c r="I807" s="501"/>
      <c r="J807" s="501"/>
      <c r="K807" s="501"/>
      <c r="L807" s="502"/>
      <c r="M807" s="28"/>
      <c r="N807" s="64"/>
      <c r="O807" s="469" t="s">
        <v>44</v>
      </c>
      <c r="P807" s="470"/>
      <c r="Q807" s="470"/>
      <c r="R807" s="471"/>
      <c r="S807" s="65"/>
      <c r="T807" s="469" t="s">
        <v>45</v>
      </c>
      <c r="U807" s="470"/>
      <c r="V807" s="470"/>
      <c r="W807" s="470"/>
      <c r="X807" s="470"/>
      <c r="Y807" s="471"/>
      <c r="Z807" s="66"/>
      <c r="AA807" s="28"/>
    </row>
    <row r="808" spans="1:27" s="29" customFormat="1" ht="21.4" hidden="1" customHeight="1" x14ac:dyDescent="0.2">
      <c r="A808" s="30"/>
      <c r="C808" s="466" t="s">
        <v>92</v>
      </c>
      <c r="D808" s="466"/>
      <c r="E808" s="466"/>
      <c r="F808" s="466"/>
      <c r="G808" s="31" t="str">
        <f>$J$1</f>
        <v>October</v>
      </c>
      <c r="H808" s="467">
        <f>$K$1</f>
        <v>2022</v>
      </c>
      <c r="I808" s="467"/>
      <c r="K808" s="32"/>
      <c r="L808" s="33"/>
      <c r="M808" s="32"/>
      <c r="N808" s="67"/>
      <c r="O808" s="68" t="s">
        <v>55</v>
      </c>
      <c r="P808" s="68" t="s">
        <v>7</v>
      </c>
      <c r="Q808" s="68" t="s">
        <v>6</v>
      </c>
      <c r="R808" s="68" t="s">
        <v>56</v>
      </c>
      <c r="S808" s="69"/>
      <c r="T808" s="68" t="s">
        <v>55</v>
      </c>
      <c r="U808" s="68" t="s">
        <v>57</v>
      </c>
      <c r="V808" s="68" t="s">
        <v>22</v>
      </c>
      <c r="W808" s="68" t="s">
        <v>21</v>
      </c>
      <c r="X808" s="68" t="s">
        <v>23</v>
      </c>
      <c r="Y808" s="68" t="s">
        <v>61</v>
      </c>
      <c r="Z808" s="70"/>
      <c r="AA808" s="32"/>
    </row>
    <row r="809" spans="1:27" s="29" customFormat="1" ht="21.4" hidden="1" customHeight="1" x14ac:dyDescent="0.2">
      <c r="A809" s="30"/>
      <c r="D809" s="35"/>
      <c r="E809" s="35"/>
      <c r="F809" s="35"/>
      <c r="G809" s="35"/>
      <c r="H809" s="35"/>
      <c r="J809" s="36" t="s">
        <v>1</v>
      </c>
      <c r="K809" s="37"/>
      <c r="L809" s="38"/>
      <c r="N809" s="71"/>
      <c r="O809" s="72" t="s">
        <v>47</v>
      </c>
      <c r="P809" s="72"/>
      <c r="Q809" s="72"/>
      <c r="R809" s="72">
        <v>0</v>
      </c>
      <c r="S809" s="73"/>
      <c r="T809" s="72" t="s">
        <v>47</v>
      </c>
      <c r="U809" s="74"/>
      <c r="V809" s="74"/>
      <c r="W809" s="74">
        <f>V809+U809</f>
        <v>0</v>
      </c>
      <c r="X809" s="74"/>
      <c r="Y809" s="74">
        <f>W809-X809</f>
        <v>0</v>
      </c>
      <c r="Z809" s="70"/>
    </row>
    <row r="810" spans="1:27" s="29" customFormat="1" ht="21.4" hidden="1" customHeight="1" x14ac:dyDescent="0.2">
      <c r="A810" s="30"/>
      <c r="B810" s="29" t="s">
        <v>0</v>
      </c>
      <c r="C810" s="40"/>
      <c r="H810" s="41"/>
      <c r="I810" s="35"/>
      <c r="L810" s="42"/>
      <c r="M810" s="28"/>
      <c r="N810" s="75"/>
      <c r="O810" s="72" t="s">
        <v>73</v>
      </c>
      <c r="P810" s="72"/>
      <c r="Q810" s="72"/>
      <c r="R810" s="72">
        <v>0</v>
      </c>
      <c r="S810" s="63"/>
      <c r="T810" s="72" t="s">
        <v>73</v>
      </c>
      <c r="U810" s="109">
        <f>Y809</f>
        <v>0</v>
      </c>
      <c r="V810" s="74"/>
      <c r="W810" s="109">
        <f>IF(U810="","",U810+V810)</f>
        <v>0</v>
      </c>
      <c r="X810" s="74"/>
      <c r="Y810" s="109">
        <f>IF(W810="","",W810-X810)</f>
        <v>0</v>
      </c>
      <c r="Z810" s="76"/>
      <c r="AA810" s="28"/>
    </row>
    <row r="811" spans="1:27" s="29" customFormat="1" ht="21.4" hidden="1" customHeight="1" x14ac:dyDescent="0.2">
      <c r="A811" s="30"/>
      <c r="B811" s="44" t="s">
        <v>43</v>
      </c>
      <c r="C811" s="45"/>
      <c r="F811" s="458" t="s">
        <v>45</v>
      </c>
      <c r="G811" s="459"/>
      <c r="I811" s="458" t="s">
        <v>46</v>
      </c>
      <c r="J811" s="493"/>
      <c r="K811" s="459"/>
      <c r="L811" s="46"/>
      <c r="N811" s="71"/>
      <c r="O811" s="72" t="s">
        <v>48</v>
      </c>
      <c r="P811" s="72"/>
      <c r="Q811" s="72"/>
      <c r="R811" s="72" t="str">
        <f>IF(Q811="","",R810-Q811)</f>
        <v/>
      </c>
      <c r="S811" s="63"/>
      <c r="T811" s="72" t="s">
        <v>48</v>
      </c>
      <c r="U811" s="109">
        <f>IF($J$1="April",Y810,Y810)</f>
        <v>0</v>
      </c>
      <c r="V811" s="74"/>
      <c r="W811" s="109">
        <f t="shared" ref="W811:W820" si="171">IF(U811="","",U811+V811)</f>
        <v>0</v>
      </c>
      <c r="X811" s="74"/>
      <c r="Y811" s="109">
        <f t="shared" ref="Y811:Y820" si="172">IF(W811="","",W811-X811)</f>
        <v>0</v>
      </c>
      <c r="Z811" s="76"/>
    </row>
    <row r="812" spans="1:27" s="29" customFormat="1" ht="21.4" hidden="1" customHeight="1" x14ac:dyDescent="0.2">
      <c r="A812" s="30"/>
      <c r="H812" s="47"/>
      <c r="L812" s="34"/>
      <c r="N812" s="71"/>
      <c r="O812" s="72" t="s">
        <v>49</v>
      </c>
      <c r="P812" s="72"/>
      <c r="Q812" s="72"/>
      <c r="R812" s="72">
        <v>0</v>
      </c>
      <c r="S812" s="63"/>
      <c r="T812" s="72" t="s">
        <v>49</v>
      </c>
      <c r="U812" s="109">
        <f>IF($J$1="April",Y811,Y811)</f>
        <v>0</v>
      </c>
      <c r="V812" s="74"/>
      <c r="W812" s="109">
        <f t="shared" si="171"/>
        <v>0</v>
      </c>
      <c r="X812" s="74"/>
      <c r="Y812" s="109">
        <f t="shared" si="172"/>
        <v>0</v>
      </c>
      <c r="Z812" s="76"/>
    </row>
    <row r="813" spans="1:27" s="29" customFormat="1" ht="21.4" hidden="1" customHeight="1" x14ac:dyDescent="0.2">
      <c r="A813" s="30"/>
      <c r="B813" s="472" t="s">
        <v>44</v>
      </c>
      <c r="C813" s="473"/>
      <c r="F813" s="48" t="s">
        <v>66</v>
      </c>
      <c r="G813" s="43" t="str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/>
      </c>
      <c r="H813" s="47"/>
      <c r="I813" s="49"/>
      <c r="J813" s="50" t="s">
        <v>63</v>
      </c>
      <c r="K813" s="51">
        <f>K809/$K$2*I813</f>
        <v>0</v>
      </c>
      <c r="L813" s="52"/>
      <c r="N813" s="71"/>
      <c r="O813" s="72" t="s">
        <v>50</v>
      </c>
      <c r="P813" s="72"/>
      <c r="Q813" s="72"/>
      <c r="R813" s="72">
        <v>0</v>
      </c>
      <c r="S813" s="63"/>
      <c r="T813" s="72" t="s">
        <v>50</v>
      </c>
      <c r="U813" s="109">
        <f>IF($J$1="May",Y812,Y812)</f>
        <v>0</v>
      </c>
      <c r="V813" s="74"/>
      <c r="W813" s="109">
        <f t="shared" si="171"/>
        <v>0</v>
      </c>
      <c r="X813" s="74"/>
      <c r="Y813" s="109">
        <f t="shared" si="172"/>
        <v>0</v>
      </c>
      <c r="Z813" s="76"/>
    </row>
    <row r="814" spans="1:27" s="29" customFormat="1" ht="21.4" hidden="1" customHeight="1" x14ac:dyDescent="0.2">
      <c r="A814" s="30"/>
      <c r="B814" s="39"/>
      <c r="C814" s="39"/>
      <c r="F814" s="48" t="s">
        <v>22</v>
      </c>
      <c r="G814" s="43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7"/>
      <c r="I814" s="114"/>
      <c r="J814" s="50" t="s">
        <v>64</v>
      </c>
      <c r="K814" s="53">
        <f>K809/$K$2/8*I814</f>
        <v>0</v>
      </c>
      <c r="L814" s="54"/>
      <c r="N814" s="71"/>
      <c r="O814" s="72" t="s">
        <v>51</v>
      </c>
      <c r="P814" s="72"/>
      <c r="Q814" s="72"/>
      <c r="R814" s="72">
        <v>0</v>
      </c>
      <c r="S814" s="63"/>
      <c r="T814" s="72" t="s">
        <v>51</v>
      </c>
      <c r="U814" s="109">
        <f>IF($J$1="May",Y813,Y813)</f>
        <v>0</v>
      </c>
      <c r="V814" s="74"/>
      <c r="W814" s="109">
        <f t="shared" si="171"/>
        <v>0</v>
      </c>
      <c r="X814" s="74"/>
      <c r="Y814" s="109">
        <f t="shared" si="172"/>
        <v>0</v>
      </c>
      <c r="Z814" s="76"/>
    </row>
    <row r="815" spans="1:27" s="29" customFormat="1" ht="21.4" hidden="1" customHeight="1" x14ac:dyDescent="0.2">
      <c r="A815" s="30"/>
      <c r="B815" s="48" t="s">
        <v>7</v>
      </c>
      <c r="C815" s="39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F815" s="48" t="s">
        <v>67</v>
      </c>
      <c r="G815" s="43" t="str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/>
      </c>
      <c r="H815" s="47"/>
      <c r="I815" s="456" t="s">
        <v>71</v>
      </c>
      <c r="J815" s="457"/>
      <c r="K815" s="53">
        <f>K813+K814</f>
        <v>0</v>
      </c>
      <c r="L815" s="54"/>
      <c r="N815" s="71"/>
      <c r="O815" s="72" t="s">
        <v>52</v>
      </c>
      <c r="P815" s="72"/>
      <c r="Q815" s="72"/>
      <c r="R815" s="72">
        <v>0</v>
      </c>
      <c r="S815" s="63"/>
      <c r="T815" s="72" t="s">
        <v>52</v>
      </c>
      <c r="U815" s="109" t="str">
        <f>IF($J$1="July",Y814,"")</f>
        <v/>
      </c>
      <c r="V815" s="74"/>
      <c r="W815" s="109" t="str">
        <f t="shared" si="171"/>
        <v/>
      </c>
      <c r="X815" s="74"/>
      <c r="Y815" s="109" t="str">
        <f t="shared" si="172"/>
        <v/>
      </c>
      <c r="Z815" s="76"/>
    </row>
    <row r="816" spans="1:27" s="29" customFormat="1" ht="21.4" hidden="1" customHeight="1" x14ac:dyDescent="0.2">
      <c r="A816" s="30"/>
      <c r="B816" s="48" t="s">
        <v>6</v>
      </c>
      <c r="C816" s="39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F816" s="48" t="s">
        <v>23</v>
      </c>
      <c r="G816" s="43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7"/>
      <c r="I816" s="456" t="s">
        <v>72</v>
      </c>
      <c r="J816" s="457"/>
      <c r="K816" s="43">
        <f>G816</f>
        <v>0</v>
      </c>
      <c r="L816" s="55"/>
      <c r="N816" s="71"/>
      <c r="O816" s="72" t="s">
        <v>53</v>
      </c>
      <c r="P816" s="72"/>
      <c r="Q816" s="72"/>
      <c r="R816" s="72" t="str">
        <f>IF(Q816="","",R815-Q816)</f>
        <v/>
      </c>
      <c r="S816" s="63"/>
      <c r="T816" s="72" t="s">
        <v>53</v>
      </c>
      <c r="U816" s="109" t="str">
        <f>IF($J$1="August",Y815,"")</f>
        <v/>
      </c>
      <c r="V816" s="74"/>
      <c r="W816" s="109" t="str">
        <f t="shared" si="171"/>
        <v/>
      </c>
      <c r="X816" s="74"/>
      <c r="Y816" s="109" t="str">
        <f t="shared" si="172"/>
        <v/>
      </c>
      <c r="Z816" s="76"/>
    </row>
    <row r="817" spans="1:27" s="29" customFormat="1" ht="21.4" hidden="1" customHeight="1" x14ac:dyDescent="0.2">
      <c r="A817" s="30"/>
      <c r="B817" s="56" t="s">
        <v>70</v>
      </c>
      <c r="C817" s="39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>0</v>
      </c>
      <c r="F817" s="48" t="s">
        <v>69</v>
      </c>
      <c r="G817" s="43" t="str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/>
      </c>
      <c r="I817" s="458" t="s">
        <v>65</v>
      </c>
      <c r="J817" s="459"/>
      <c r="K817" s="57">
        <f>K815-K816</f>
        <v>0</v>
      </c>
      <c r="L817" s="58"/>
      <c r="N817" s="71"/>
      <c r="O817" s="72" t="s">
        <v>58</v>
      </c>
      <c r="P817" s="72"/>
      <c r="Q817" s="72"/>
      <c r="R817" s="72">
        <v>0</v>
      </c>
      <c r="S817" s="63"/>
      <c r="T817" s="72" t="s">
        <v>58</v>
      </c>
      <c r="U817" s="109" t="str">
        <f>IF($J$1="Sept",Y816,"")</f>
        <v/>
      </c>
      <c r="V817" s="74"/>
      <c r="W817" s="109" t="str">
        <f t="shared" si="171"/>
        <v/>
      </c>
      <c r="X817" s="74"/>
      <c r="Y817" s="109" t="str">
        <f t="shared" si="172"/>
        <v/>
      </c>
      <c r="Z817" s="76"/>
    </row>
    <row r="818" spans="1:27" s="29" customFormat="1" ht="21.4" hidden="1" customHeight="1" x14ac:dyDescent="0.2">
      <c r="A818" s="30"/>
      <c r="L818" s="46"/>
      <c r="N818" s="71"/>
      <c r="O818" s="72" t="s">
        <v>54</v>
      </c>
      <c r="P818" s="72"/>
      <c r="Q818" s="72"/>
      <c r="R818" s="72">
        <v>0</v>
      </c>
      <c r="S818" s="63"/>
      <c r="T818" s="72" t="s">
        <v>54</v>
      </c>
      <c r="U818" s="109" t="str">
        <f>IF($J$1="October",Y817,"")</f>
        <v/>
      </c>
      <c r="V818" s="74"/>
      <c r="W818" s="109" t="str">
        <f t="shared" si="171"/>
        <v/>
      </c>
      <c r="X818" s="74"/>
      <c r="Y818" s="109" t="str">
        <f t="shared" si="172"/>
        <v/>
      </c>
      <c r="Z818" s="76"/>
    </row>
    <row r="819" spans="1:27" s="29" customFormat="1" ht="21.4" hidden="1" customHeight="1" x14ac:dyDescent="0.2">
      <c r="A819" s="30"/>
      <c r="B819" s="455" t="s">
        <v>94</v>
      </c>
      <c r="C819" s="455"/>
      <c r="D819" s="455"/>
      <c r="E819" s="455"/>
      <c r="F819" s="455"/>
      <c r="G819" s="455"/>
      <c r="H819" s="455"/>
      <c r="I819" s="455"/>
      <c r="J819" s="455"/>
      <c r="K819" s="455"/>
      <c r="L819" s="46"/>
      <c r="N819" s="71"/>
      <c r="O819" s="72" t="s">
        <v>59</v>
      </c>
      <c r="P819" s="72"/>
      <c r="Q819" s="72"/>
      <c r="R819" s="72" t="str">
        <f>IF(Q819="","",R818-Q819)</f>
        <v/>
      </c>
      <c r="S819" s="63"/>
      <c r="T819" s="72" t="s">
        <v>59</v>
      </c>
      <c r="U819" s="109" t="str">
        <f>IF($J$1="November",Y818,"")</f>
        <v/>
      </c>
      <c r="V819" s="74"/>
      <c r="W819" s="109" t="str">
        <f t="shared" si="171"/>
        <v/>
      </c>
      <c r="X819" s="74"/>
      <c r="Y819" s="109" t="str">
        <f t="shared" si="172"/>
        <v/>
      </c>
      <c r="Z819" s="76"/>
    </row>
    <row r="820" spans="1:27" s="29" customFormat="1" ht="21.4" hidden="1" customHeight="1" x14ac:dyDescent="0.2">
      <c r="A820" s="30"/>
      <c r="B820" s="455"/>
      <c r="C820" s="455"/>
      <c r="D820" s="455"/>
      <c r="E820" s="455"/>
      <c r="F820" s="455"/>
      <c r="G820" s="455"/>
      <c r="H820" s="455"/>
      <c r="I820" s="455"/>
      <c r="J820" s="455"/>
      <c r="K820" s="455"/>
      <c r="L820" s="46"/>
      <c r="N820" s="71"/>
      <c r="O820" s="72" t="s">
        <v>60</v>
      </c>
      <c r="P820" s="72"/>
      <c r="Q820" s="72"/>
      <c r="R820" s="72">
        <v>0</v>
      </c>
      <c r="S820" s="63"/>
      <c r="T820" s="72" t="s">
        <v>60</v>
      </c>
      <c r="U820" s="109" t="str">
        <f>IF($J$1="Dec",Y819,"")</f>
        <v/>
      </c>
      <c r="V820" s="74"/>
      <c r="W820" s="109" t="str">
        <f t="shared" si="171"/>
        <v/>
      </c>
      <c r="X820" s="74"/>
      <c r="Y820" s="109" t="str">
        <f t="shared" si="172"/>
        <v/>
      </c>
      <c r="Z820" s="76"/>
    </row>
    <row r="821" spans="1:27" s="29" customFormat="1" ht="21.4" hidden="1" customHeight="1" thickBot="1" x14ac:dyDescent="0.25">
      <c r="A821" s="5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1"/>
      <c r="N821" s="77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9"/>
    </row>
    <row r="822" spans="1:27" s="29" customFormat="1" ht="21" hidden="1" customHeight="1" thickBot="1" x14ac:dyDescent="0.25"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7" s="29" customFormat="1" ht="21.4" hidden="1" customHeight="1" x14ac:dyDescent="0.2">
      <c r="A823" s="480" t="s">
        <v>42</v>
      </c>
      <c r="B823" s="481"/>
      <c r="C823" s="481"/>
      <c r="D823" s="481"/>
      <c r="E823" s="481"/>
      <c r="F823" s="481"/>
      <c r="G823" s="481"/>
      <c r="H823" s="481"/>
      <c r="I823" s="481"/>
      <c r="J823" s="481"/>
      <c r="K823" s="481"/>
      <c r="L823" s="482"/>
      <c r="M823" s="28"/>
      <c r="N823" s="64"/>
      <c r="O823" s="469" t="s">
        <v>44</v>
      </c>
      <c r="P823" s="470"/>
      <c r="Q823" s="470"/>
      <c r="R823" s="471"/>
      <c r="S823" s="65"/>
      <c r="T823" s="469" t="s">
        <v>45</v>
      </c>
      <c r="U823" s="470"/>
      <c r="V823" s="470"/>
      <c r="W823" s="470"/>
      <c r="X823" s="470"/>
      <c r="Y823" s="471"/>
      <c r="Z823" s="66"/>
      <c r="AA823" s="28"/>
    </row>
    <row r="824" spans="1:27" s="29" customFormat="1" ht="21.4" hidden="1" customHeight="1" x14ac:dyDescent="0.2">
      <c r="A824" s="30"/>
      <c r="C824" s="466" t="s">
        <v>92</v>
      </c>
      <c r="D824" s="466"/>
      <c r="E824" s="466"/>
      <c r="F824" s="466"/>
      <c r="G824" s="31" t="str">
        <f>$J$1</f>
        <v>October</v>
      </c>
      <c r="H824" s="467">
        <f>$K$1</f>
        <v>2022</v>
      </c>
      <c r="I824" s="467"/>
      <c r="K824" s="32"/>
      <c r="L824" s="33"/>
      <c r="M824" s="32"/>
      <c r="N824" s="67"/>
      <c r="O824" s="68" t="s">
        <v>55</v>
      </c>
      <c r="P824" s="68" t="s">
        <v>7</v>
      </c>
      <c r="Q824" s="68" t="s">
        <v>6</v>
      </c>
      <c r="R824" s="68" t="s">
        <v>56</v>
      </c>
      <c r="S824" s="69"/>
      <c r="T824" s="68" t="s">
        <v>55</v>
      </c>
      <c r="U824" s="68" t="s">
        <v>57</v>
      </c>
      <c r="V824" s="68" t="s">
        <v>22</v>
      </c>
      <c r="W824" s="68" t="s">
        <v>21</v>
      </c>
      <c r="X824" s="68" t="s">
        <v>23</v>
      </c>
      <c r="Y824" s="68" t="s">
        <v>61</v>
      </c>
      <c r="Z824" s="70"/>
      <c r="AA824" s="32"/>
    </row>
    <row r="825" spans="1:27" s="29" customFormat="1" ht="21.4" hidden="1" customHeight="1" x14ac:dyDescent="0.2">
      <c r="A825" s="30"/>
      <c r="D825" s="35"/>
      <c r="E825" s="35"/>
      <c r="F825" s="35"/>
      <c r="G825" s="35"/>
      <c r="H825" s="35"/>
      <c r="J825" s="36" t="s">
        <v>1</v>
      </c>
      <c r="K825" s="37"/>
      <c r="L825" s="38"/>
      <c r="N825" s="71"/>
      <c r="O825" s="72" t="s">
        <v>47</v>
      </c>
      <c r="P825" s="72"/>
      <c r="Q825" s="72"/>
      <c r="R825" s="72">
        <v>0</v>
      </c>
      <c r="S825" s="73"/>
      <c r="T825" s="72" t="s">
        <v>47</v>
      </c>
      <c r="U825" s="74"/>
      <c r="V825" s="74"/>
      <c r="W825" s="74">
        <f>V825+U825</f>
        <v>0</v>
      </c>
      <c r="X825" s="74"/>
      <c r="Y825" s="74">
        <f>W825-X825</f>
        <v>0</v>
      </c>
      <c r="Z825" s="70"/>
    </row>
    <row r="826" spans="1:27" s="29" customFormat="1" ht="21.4" hidden="1" customHeight="1" x14ac:dyDescent="0.2">
      <c r="A826" s="30"/>
      <c r="B826" s="29" t="s">
        <v>0</v>
      </c>
      <c r="C826" s="40" t="s">
        <v>99</v>
      </c>
      <c r="H826" s="41"/>
      <c r="I826" s="35"/>
      <c r="L826" s="42"/>
      <c r="M826" s="28"/>
      <c r="N826" s="75"/>
      <c r="O826" s="72" t="s">
        <v>73</v>
      </c>
      <c r="P826" s="72"/>
      <c r="Q826" s="72"/>
      <c r="R826" s="72" t="str">
        <f>IF(Q826="","",R825-Q826)</f>
        <v/>
      </c>
      <c r="S826" s="63"/>
      <c r="T826" s="72" t="s">
        <v>73</v>
      </c>
      <c r="U826" s="109">
        <f>Y825</f>
        <v>0</v>
      </c>
      <c r="V826" s="74"/>
      <c r="W826" s="109">
        <f>IF(U826="","",U826+V826)</f>
        <v>0</v>
      </c>
      <c r="X826" s="74"/>
      <c r="Y826" s="109">
        <f>IF(W826="","",W826-X826)</f>
        <v>0</v>
      </c>
      <c r="Z826" s="76"/>
      <c r="AA826" s="28"/>
    </row>
    <row r="827" spans="1:27" s="29" customFormat="1" ht="21.4" hidden="1" customHeight="1" x14ac:dyDescent="0.2">
      <c r="A827" s="30"/>
      <c r="B827" s="44" t="s">
        <v>43</v>
      </c>
      <c r="C827" s="62"/>
      <c r="F827" s="468" t="s">
        <v>45</v>
      </c>
      <c r="G827" s="468"/>
      <c r="I827" s="468" t="s">
        <v>46</v>
      </c>
      <c r="J827" s="468"/>
      <c r="K827" s="468"/>
      <c r="L827" s="46"/>
      <c r="N827" s="71"/>
      <c r="O827" s="72" t="s">
        <v>48</v>
      </c>
      <c r="P827" s="72"/>
      <c r="Q827" s="72"/>
      <c r="R827" s="72" t="str">
        <f t="shared" ref="R827:R836" si="173">IF(Q827="","",R826-Q827)</f>
        <v/>
      </c>
      <c r="S827" s="63"/>
      <c r="T827" s="72" t="s">
        <v>48</v>
      </c>
      <c r="U827" s="109">
        <f>IF($J$1="April",Y826,Y826)</f>
        <v>0</v>
      </c>
      <c r="V827" s="74"/>
      <c r="W827" s="109">
        <f t="shared" ref="W827:W836" si="174">IF(U827="","",U827+V827)</f>
        <v>0</v>
      </c>
      <c r="X827" s="74"/>
      <c r="Y827" s="109">
        <f t="shared" ref="Y827:Y836" si="175">IF(W827="","",W827-X827)</f>
        <v>0</v>
      </c>
      <c r="Z827" s="76"/>
    </row>
    <row r="828" spans="1:27" s="29" customFormat="1" ht="21.4" hidden="1" customHeight="1" x14ac:dyDescent="0.2">
      <c r="A828" s="30"/>
      <c r="H828" s="47"/>
      <c r="L828" s="34"/>
      <c r="N828" s="71"/>
      <c r="O828" s="72" t="s">
        <v>49</v>
      </c>
      <c r="P828" s="72"/>
      <c r="Q828" s="72"/>
      <c r="R828" s="72" t="str">
        <f t="shared" si="173"/>
        <v/>
      </c>
      <c r="S828" s="63"/>
      <c r="T828" s="72" t="s">
        <v>49</v>
      </c>
      <c r="U828" s="109">
        <f>IF($J$1="April",Y827,Y827)</f>
        <v>0</v>
      </c>
      <c r="V828" s="74"/>
      <c r="W828" s="109">
        <f t="shared" si="174"/>
        <v>0</v>
      </c>
      <c r="X828" s="74"/>
      <c r="Y828" s="109">
        <f t="shared" si="175"/>
        <v>0</v>
      </c>
      <c r="Z828" s="76"/>
    </row>
    <row r="829" spans="1:27" s="29" customFormat="1" ht="21.4" hidden="1" customHeight="1" x14ac:dyDescent="0.2">
      <c r="A829" s="30"/>
      <c r="B829" s="472" t="s">
        <v>44</v>
      </c>
      <c r="C829" s="473"/>
      <c r="F829" s="48" t="s">
        <v>66</v>
      </c>
      <c r="G829" s="43" t="str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/>
      </c>
      <c r="H829" s="47"/>
      <c r="I829" s="49"/>
      <c r="J829" s="50" t="s">
        <v>63</v>
      </c>
      <c r="K829" s="51">
        <f>K825/$K$2*I829</f>
        <v>0</v>
      </c>
      <c r="L829" s="52"/>
      <c r="N829" s="71"/>
      <c r="O829" s="72" t="s">
        <v>50</v>
      </c>
      <c r="P829" s="72"/>
      <c r="Q829" s="72"/>
      <c r="R829" s="72" t="str">
        <f t="shared" si="173"/>
        <v/>
      </c>
      <c r="S829" s="63"/>
      <c r="T829" s="72" t="s">
        <v>50</v>
      </c>
      <c r="U829" s="109">
        <f>IF($J$1="May",Y828,Y828)</f>
        <v>0</v>
      </c>
      <c r="V829" s="74"/>
      <c r="W829" s="109">
        <f t="shared" si="174"/>
        <v>0</v>
      </c>
      <c r="X829" s="74"/>
      <c r="Y829" s="109">
        <f t="shared" si="175"/>
        <v>0</v>
      </c>
      <c r="Z829" s="76"/>
    </row>
    <row r="830" spans="1:27" s="29" customFormat="1" ht="21.4" hidden="1" customHeight="1" x14ac:dyDescent="0.2">
      <c r="A830" s="30"/>
      <c r="B830" s="39"/>
      <c r="C830" s="39"/>
      <c r="F830" s="48" t="s">
        <v>22</v>
      </c>
      <c r="G830" s="43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7"/>
      <c r="I830" s="49"/>
      <c r="J830" s="50" t="s">
        <v>64</v>
      </c>
      <c r="K830" s="53">
        <f>K825/$K$2/8*I830</f>
        <v>0</v>
      </c>
      <c r="L830" s="54"/>
      <c r="N830" s="71"/>
      <c r="O830" s="72" t="s">
        <v>51</v>
      </c>
      <c r="P830" s="72"/>
      <c r="Q830" s="72"/>
      <c r="R830" s="72" t="str">
        <f t="shared" si="173"/>
        <v/>
      </c>
      <c r="S830" s="63"/>
      <c r="T830" s="72" t="s">
        <v>51</v>
      </c>
      <c r="U830" s="109">
        <f>IF($J$1="May",Y829,Y829)</f>
        <v>0</v>
      </c>
      <c r="V830" s="74"/>
      <c r="W830" s="109">
        <f t="shared" si="174"/>
        <v>0</v>
      </c>
      <c r="X830" s="74"/>
      <c r="Y830" s="109">
        <f t="shared" si="175"/>
        <v>0</v>
      </c>
      <c r="Z830" s="76"/>
    </row>
    <row r="831" spans="1:27" s="29" customFormat="1" ht="21.4" hidden="1" customHeight="1" x14ac:dyDescent="0.2">
      <c r="A831" s="30"/>
      <c r="B831" s="48" t="s">
        <v>7</v>
      </c>
      <c r="C831" s="39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0</v>
      </c>
      <c r="F831" s="48" t="s">
        <v>67</v>
      </c>
      <c r="G831" s="43" t="str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/>
      </c>
      <c r="H831" s="47"/>
      <c r="I831" s="456" t="s">
        <v>71</v>
      </c>
      <c r="J831" s="457"/>
      <c r="K831" s="53">
        <f>K829+K830</f>
        <v>0</v>
      </c>
      <c r="L831" s="54"/>
      <c r="N831" s="71"/>
      <c r="O831" s="72" t="s">
        <v>52</v>
      </c>
      <c r="P831" s="72"/>
      <c r="Q831" s="72"/>
      <c r="R831" s="72" t="str">
        <f t="shared" si="173"/>
        <v/>
      </c>
      <c r="S831" s="63"/>
      <c r="T831" s="72" t="s">
        <v>52</v>
      </c>
      <c r="U831" s="109" t="str">
        <f>IF($J$1="July",Y830,"")</f>
        <v/>
      </c>
      <c r="V831" s="74"/>
      <c r="W831" s="109" t="str">
        <f t="shared" si="174"/>
        <v/>
      </c>
      <c r="X831" s="74"/>
      <c r="Y831" s="109" t="str">
        <f t="shared" si="175"/>
        <v/>
      </c>
      <c r="Z831" s="76"/>
    </row>
    <row r="832" spans="1:27" s="29" customFormat="1" ht="21.4" hidden="1" customHeight="1" x14ac:dyDescent="0.2">
      <c r="A832" s="30"/>
      <c r="B832" s="48" t="s">
        <v>6</v>
      </c>
      <c r="C832" s="39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0</v>
      </c>
      <c r="F832" s="48" t="s">
        <v>23</v>
      </c>
      <c r="G832" s="43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7"/>
      <c r="I832" s="456" t="s">
        <v>72</v>
      </c>
      <c r="J832" s="457"/>
      <c r="K832" s="43">
        <f>G832</f>
        <v>0</v>
      </c>
      <c r="L832" s="55"/>
      <c r="N832" s="71"/>
      <c r="O832" s="72" t="s">
        <v>53</v>
      </c>
      <c r="P832" s="72"/>
      <c r="Q832" s="72"/>
      <c r="R832" s="72" t="str">
        <f t="shared" si="173"/>
        <v/>
      </c>
      <c r="S832" s="63"/>
      <c r="T832" s="72" t="s">
        <v>53</v>
      </c>
      <c r="U832" s="109" t="str">
        <f>IF($J$1="August",Y831,"")</f>
        <v/>
      </c>
      <c r="V832" s="74"/>
      <c r="W832" s="109" t="str">
        <f t="shared" si="174"/>
        <v/>
      </c>
      <c r="X832" s="74"/>
      <c r="Y832" s="109" t="str">
        <f t="shared" si="175"/>
        <v/>
      </c>
      <c r="Z832" s="76"/>
    </row>
    <row r="833" spans="1:26" s="29" customFormat="1" ht="21.4" hidden="1" customHeight="1" x14ac:dyDescent="0.2">
      <c r="A833" s="30"/>
      <c r="B833" s="56" t="s">
        <v>70</v>
      </c>
      <c r="C833" s="39" t="str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/>
      </c>
      <c r="F833" s="48" t="s">
        <v>69</v>
      </c>
      <c r="G833" s="43" t="str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/>
      </c>
      <c r="I833" s="458" t="s">
        <v>65</v>
      </c>
      <c r="J833" s="459"/>
      <c r="K833" s="57">
        <f>K831-K832</f>
        <v>0</v>
      </c>
      <c r="L833" s="58"/>
      <c r="N833" s="71"/>
      <c r="O833" s="72" t="s">
        <v>58</v>
      </c>
      <c r="P833" s="72"/>
      <c r="Q833" s="72"/>
      <c r="R833" s="72" t="str">
        <f t="shared" si="173"/>
        <v/>
      </c>
      <c r="S833" s="63"/>
      <c r="T833" s="72" t="s">
        <v>58</v>
      </c>
      <c r="U833" s="109" t="str">
        <f>IF($J$1="Sept",Y832,"")</f>
        <v/>
      </c>
      <c r="V833" s="74"/>
      <c r="W833" s="109" t="str">
        <f t="shared" si="174"/>
        <v/>
      </c>
      <c r="X833" s="74"/>
      <c r="Y833" s="109" t="str">
        <f t="shared" si="175"/>
        <v/>
      </c>
      <c r="Z833" s="76"/>
    </row>
    <row r="834" spans="1:26" s="29" customFormat="1" ht="21.4" hidden="1" customHeight="1" x14ac:dyDescent="0.2">
      <c r="A834" s="30"/>
      <c r="L834" s="46"/>
      <c r="N834" s="71"/>
      <c r="O834" s="72" t="s">
        <v>54</v>
      </c>
      <c r="P834" s="72"/>
      <c r="Q834" s="72"/>
      <c r="R834" s="72" t="str">
        <f t="shared" si="173"/>
        <v/>
      </c>
      <c r="S834" s="63"/>
      <c r="T834" s="72" t="s">
        <v>54</v>
      </c>
      <c r="U834" s="109" t="str">
        <f>IF($J$1="October",Y833,"")</f>
        <v/>
      </c>
      <c r="V834" s="74"/>
      <c r="W834" s="109" t="str">
        <f t="shared" si="174"/>
        <v/>
      </c>
      <c r="X834" s="74"/>
      <c r="Y834" s="109" t="str">
        <f t="shared" si="175"/>
        <v/>
      </c>
      <c r="Z834" s="76"/>
    </row>
    <row r="835" spans="1:26" s="29" customFormat="1" ht="21.4" hidden="1" customHeight="1" x14ac:dyDescent="0.2">
      <c r="A835" s="30"/>
      <c r="B835" s="455" t="s">
        <v>94</v>
      </c>
      <c r="C835" s="455"/>
      <c r="D835" s="455"/>
      <c r="E835" s="455"/>
      <c r="F835" s="455"/>
      <c r="G835" s="455"/>
      <c r="H835" s="455"/>
      <c r="I835" s="455"/>
      <c r="J835" s="455"/>
      <c r="K835" s="455"/>
      <c r="L835" s="46"/>
      <c r="N835" s="71"/>
      <c r="O835" s="72" t="s">
        <v>59</v>
      </c>
      <c r="P835" s="72"/>
      <c r="Q835" s="72"/>
      <c r="R835" s="72" t="str">
        <f t="shared" si="173"/>
        <v/>
      </c>
      <c r="S835" s="63"/>
      <c r="T835" s="72" t="s">
        <v>59</v>
      </c>
      <c r="U835" s="109" t="str">
        <f>IF($J$1="November",Y834,"")</f>
        <v/>
      </c>
      <c r="V835" s="74"/>
      <c r="W835" s="109" t="str">
        <f t="shared" si="174"/>
        <v/>
      </c>
      <c r="X835" s="74"/>
      <c r="Y835" s="109" t="str">
        <f t="shared" si="175"/>
        <v/>
      </c>
      <c r="Z835" s="76"/>
    </row>
    <row r="836" spans="1:26" s="29" customFormat="1" ht="21.4" hidden="1" customHeight="1" x14ac:dyDescent="0.2">
      <c r="A836" s="30"/>
      <c r="B836" s="455"/>
      <c r="C836" s="455"/>
      <c r="D836" s="455"/>
      <c r="E836" s="455"/>
      <c r="F836" s="455"/>
      <c r="G836" s="455"/>
      <c r="H836" s="455"/>
      <c r="I836" s="455"/>
      <c r="J836" s="455"/>
      <c r="K836" s="455"/>
      <c r="L836" s="46"/>
      <c r="N836" s="71"/>
      <c r="O836" s="72" t="s">
        <v>60</v>
      </c>
      <c r="P836" s="72"/>
      <c r="Q836" s="72"/>
      <c r="R836" s="72" t="str">
        <f t="shared" si="173"/>
        <v/>
      </c>
      <c r="S836" s="63"/>
      <c r="T836" s="72" t="s">
        <v>60</v>
      </c>
      <c r="U836" s="109" t="str">
        <f>IF($J$1="Dec",Y835,"")</f>
        <v/>
      </c>
      <c r="V836" s="74"/>
      <c r="W836" s="109" t="str">
        <f t="shared" si="174"/>
        <v/>
      </c>
      <c r="X836" s="74"/>
      <c r="Y836" s="109" t="str">
        <f t="shared" si="175"/>
        <v/>
      </c>
      <c r="Z836" s="76"/>
    </row>
    <row r="837" spans="1:26" s="29" customFormat="1" ht="21.4" hidden="1" customHeight="1" thickBot="1" x14ac:dyDescent="0.25">
      <c r="A837" s="5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1"/>
      <c r="N837" s="77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9"/>
    </row>
    <row r="838" spans="1:26" ht="21.4" hidden="1" customHeight="1" x14ac:dyDescent="0.25"/>
    <row r="839" spans="1:26" ht="21.4" hidden="1" customHeight="1" x14ac:dyDescent="0.25"/>
    <row r="840" spans="1:26" ht="21.4" hidden="1" customHeight="1" x14ac:dyDescent="0.25"/>
    <row r="841" spans="1:26" ht="21.4" hidden="1" customHeight="1" x14ac:dyDescent="0.25"/>
    <row r="842" spans="1:26" ht="21.4" hidden="1" customHeight="1" thickBot="1" x14ac:dyDescent="0.3"/>
    <row r="843" spans="1:26" s="29" customFormat="1" ht="21.4" hidden="1" customHeight="1" x14ac:dyDescent="0.2">
      <c r="A843" s="463" t="s">
        <v>42</v>
      </c>
      <c r="B843" s="464"/>
      <c r="C843" s="464"/>
      <c r="D843" s="464"/>
      <c r="E843" s="464"/>
      <c r="F843" s="464"/>
      <c r="G843" s="464"/>
      <c r="H843" s="464"/>
      <c r="I843" s="464"/>
      <c r="J843" s="464"/>
      <c r="K843" s="464"/>
      <c r="L843" s="465"/>
      <c r="M843" s="28"/>
      <c r="N843" s="64"/>
      <c r="O843" s="469" t="s">
        <v>44</v>
      </c>
      <c r="P843" s="470"/>
      <c r="Q843" s="470"/>
      <c r="R843" s="471"/>
      <c r="S843" s="65"/>
      <c r="T843" s="469" t="s">
        <v>45</v>
      </c>
      <c r="U843" s="470"/>
      <c r="V843" s="470"/>
      <c r="W843" s="470"/>
      <c r="X843" s="470"/>
      <c r="Y843" s="471"/>
      <c r="Z843" s="66"/>
    </row>
    <row r="844" spans="1:26" s="29" customFormat="1" ht="21.4" hidden="1" customHeight="1" x14ac:dyDescent="0.2">
      <c r="A844" s="30"/>
      <c r="C844" s="466" t="s">
        <v>92</v>
      </c>
      <c r="D844" s="466"/>
      <c r="E844" s="466"/>
      <c r="F844" s="466"/>
      <c r="G844" s="31" t="str">
        <f>$J$1</f>
        <v>October</v>
      </c>
      <c r="H844" s="467">
        <f>$K$1</f>
        <v>2022</v>
      </c>
      <c r="I844" s="467"/>
      <c r="K844" s="32"/>
      <c r="L844" s="33"/>
      <c r="M844" s="32"/>
      <c r="N844" s="67"/>
      <c r="O844" s="68" t="s">
        <v>55</v>
      </c>
      <c r="P844" s="68" t="s">
        <v>7</v>
      </c>
      <c r="Q844" s="68" t="s">
        <v>6</v>
      </c>
      <c r="R844" s="68" t="s">
        <v>56</v>
      </c>
      <c r="S844" s="69"/>
      <c r="T844" s="68" t="s">
        <v>55</v>
      </c>
      <c r="U844" s="68" t="s">
        <v>57</v>
      </c>
      <c r="V844" s="68" t="s">
        <v>22</v>
      </c>
      <c r="W844" s="68" t="s">
        <v>21</v>
      </c>
      <c r="X844" s="68" t="s">
        <v>23</v>
      </c>
      <c r="Y844" s="68" t="s">
        <v>61</v>
      </c>
      <c r="Z844" s="70"/>
    </row>
    <row r="845" spans="1:26" s="29" customFormat="1" ht="21.4" hidden="1" customHeight="1" x14ac:dyDescent="0.2">
      <c r="A845" s="30"/>
      <c r="D845" s="35"/>
      <c r="E845" s="35"/>
      <c r="F845" s="35"/>
      <c r="G845" s="35"/>
      <c r="H845" s="35"/>
      <c r="J845" s="36" t="s">
        <v>1</v>
      </c>
      <c r="K845" s="37">
        <f>17000+2000</f>
        <v>19000</v>
      </c>
      <c r="L845" s="38"/>
      <c r="N845" s="71"/>
      <c r="O845" s="72" t="s">
        <v>47</v>
      </c>
      <c r="P845" s="72">
        <v>29</v>
      </c>
      <c r="Q845" s="72">
        <v>2</v>
      </c>
      <c r="R845" s="72">
        <f>15-Q845</f>
        <v>13</v>
      </c>
      <c r="S845" s="73"/>
      <c r="T845" s="72" t="s">
        <v>47</v>
      </c>
      <c r="U845" s="74">
        <v>10100</v>
      </c>
      <c r="V845" s="74">
        <v>1000</v>
      </c>
      <c r="W845" s="74">
        <f>V845+U845</f>
        <v>11100</v>
      </c>
      <c r="X845" s="74">
        <v>2000</v>
      </c>
      <c r="Y845" s="74">
        <f>W845-X845</f>
        <v>9100</v>
      </c>
      <c r="Z845" s="70"/>
    </row>
    <row r="846" spans="1:26" s="29" customFormat="1" ht="21.4" hidden="1" customHeight="1" x14ac:dyDescent="0.2">
      <c r="A846" s="30"/>
      <c r="B846" s="29" t="s">
        <v>0</v>
      </c>
      <c r="C846" s="40" t="s">
        <v>106</v>
      </c>
      <c r="H846" s="41"/>
      <c r="I846" s="35"/>
      <c r="L846" s="42"/>
      <c r="M846" s="28"/>
      <c r="N846" s="75"/>
      <c r="O846" s="72" t="s">
        <v>73</v>
      </c>
      <c r="P846" s="72">
        <v>28</v>
      </c>
      <c r="Q846" s="72">
        <v>1</v>
      </c>
      <c r="R846" s="72">
        <f>IF(Q846="","",R845-Q846)</f>
        <v>12</v>
      </c>
      <c r="S846" s="63"/>
      <c r="T846" s="72" t="s">
        <v>73</v>
      </c>
      <c r="U846" s="109">
        <f>IF($J$1="January","",Y845)</f>
        <v>9100</v>
      </c>
      <c r="V846" s="74">
        <f>3000+500</f>
        <v>3500</v>
      </c>
      <c r="W846" s="109">
        <f>IF(U846="","",U846+V846)</f>
        <v>12600</v>
      </c>
      <c r="X846" s="74">
        <v>3600</v>
      </c>
      <c r="Y846" s="109">
        <f>IF(W846="","",W846-X846)</f>
        <v>9000</v>
      </c>
      <c r="Z846" s="76"/>
    </row>
    <row r="847" spans="1:26" s="29" customFormat="1" ht="21.4" hidden="1" customHeight="1" x14ac:dyDescent="0.2">
      <c r="A847" s="30"/>
      <c r="B847" s="44" t="s">
        <v>43</v>
      </c>
      <c r="C847" s="40"/>
      <c r="F847" s="468" t="s">
        <v>45</v>
      </c>
      <c r="G847" s="468"/>
      <c r="I847" s="468" t="s">
        <v>46</v>
      </c>
      <c r="J847" s="468"/>
      <c r="K847" s="468"/>
      <c r="L847" s="46"/>
      <c r="N847" s="71"/>
      <c r="O847" s="72" t="s">
        <v>48</v>
      </c>
      <c r="P847" s="72">
        <v>31</v>
      </c>
      <c r="Q847" s="72">
        <v>0</v>
      </c>
      <c r="R847" s="72">
        <f t="shared" ref="R847:R853" si="176">IF(Q847="","",R846-Q847)</f>
        <v>12</v>
      </c>
      <c r="S847" s="63"/>
      <c r="T847" s="72" t="s">
        <v>48</v>
      </c>
      <c r="U847" s="109">
        <f>IF($J$1="February","",Y846)</f>
        <v>9000</v>
      </c>
      <c r="V847" s="74"/>
      <c r="W847" s="109">
        <f t="shared" ref="W847:W856" si="177">IF(U847="","",U847+V847)</f>
        <v>9000</v>
      </c>
      <c r="X847" s="74">
        <v>2000</v>
      </c>
      <c r="Y847" s="109">
        <f t="shared" ref="Y847:Y856" si="178">IF(W847="","",W847-X847)</f>
        <v>7000</v>
      </c>
      <c r="Z847" s="76"/>
    </row>
    <row r="848" spans="1:26" s="29" customFormat="1" ht="21.4" hidden="1" customHeight="1" x14ac:dyDescent="0.2">
      <c r="A848" s="30"/>
      <c r="H848" s="47"/>
      <c r="L848" s="34"/>
      <c r="N848" s="71"/>
      <c r="O848" s="72" t="s">
        <v>49</v>
      </c>
      <c r="P848" s="72"/>
      <c r="Q848" s="72"/>
      <c r="R848" s="72" t="str">
        <f t="shared" si="176"/>
        <v/>
      </c>
      <c r="S848" s="63"/>
      <c r="T848" s="72" t="s">
        <v>49</v>
      </c>
      <c r="U848" s="109">
        <f>IF($J$1="March","",Y847)</f>
        <v>7000</v>
      </c>
      <c r="V848" s="74"/>
      <c r="W848" s="109">
        <f t="shared" si="177"/>
        <v>7000</v>
      </c>
      <c r="X848" s="74"/>
      <c r="Y848" s="109">
        <f t="shared" si="178"/>
        <v>7000</v>
      </c>
      <c r="Z848" s="76"/>
    </row>
    <row r="849" spans="1:26" s="29" customFormat="1" ht="21.4" hidden="1" customHeight="1" x14ac:dyDescent="0.2">
      <c r="A849" s="30"/>
      <c r="B849" s="472" t="s">
        <v>44</v>
      </c>
      <c r="C849" s="473"/>
      <c r="F849" s="48" t="s">
        <v>66</v>
      </c>
      <c r="G849" s="43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0</v>
      </c>
      <c r="H849" s="47"/>
      <c r="I849" s="49">
        <f>IF(C853&gt;0,$K$2,C851)</f>
        <v>0</v>
      </c>
      <c r="J849" s="50" t="s">
        <v>63</v>
      </c>
      <c r="K849" s="51">
        <f>K845/$K$2*I849</f>
        <v>0</v>
      </c>
      <c r="L849" s="52"/>
      <c r="N849" s="71"/>
      <c r="O849" s="72" t="s">
        <v>50</v>
      </c>
      <c r="P849" s="72"/>
      <c r="Q849" s="72"/>
      <c r="R849" s="72" t="str">
        <f t="shared" si="176"/>
        <v/>
      </c>
      <c r="S849" s="63"/>
      <c r="T849" s="72" t="s">
        <v>50</v>
      </c>
      <c r="U849" s="109">
        <f>IF($J$1="April","",Y848)</f>
        <v>7000</v>
      </c>
      <c r="V849" s="74"/>
      <c r="W849" s="109">
        <f t="shared" si="177"/>
        <v>7000</v>
      </c>
      <c r="X849" s="74"/>
      <c r="Y849" s="109">
        <f t="shared" si="178"/>
        <v>7000</v>
      </c>
      <c r="Z849" s="76"/>
    </row>
    <row r="850" spans="1:26" s="29" customFormat="1" ht="21.4" hidden="1" customHeight="1" x14ac:dyDescent="0.2">
      <c r="A850" s="30"/>
      <c r="B850" s="39"/>
      <c r="C850" s="39"/>
      <c r="F850" s="48" t="s">
        <v>22</v>
      </c>
      <c r="G850" s="43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0</v>
      </c>
      <c r="H850" s="47"/>
      <c r="I850" s="84"/>
      <c r="J850" s="50" t="s">
        <v>64</v>
      </c>
      <c r="K850" s="53">
        <f>K845/$K$2/8*I850</f>
        <v>0</v>
      </c>
      <c r="L850" s="54"/>
      <c r="N850" s="71"/>
      <c r="O850" s="72" t="s">
        <v>51</v>
      </c>
      <c r="P850" s="72"/>
      <c r="Q850" s="72"/>
      <c r="R850" s="72" t="str">
        <f t="shared" si="176"/>
        <v/>
      </c>
      <c r="S850" s="63"/>
      <c r="T850" s="72" t="s">
        <v>51</v>
      </c>
      <c r="U850" s="109">
        <f>Y849</f>
        <v>7000</v>
      </c>
      <c r="V850" s="74"/>
      <c r="W850" s="109">
        <f t="shared" si="177"/>
        <v>7000</v>
      </c>
      <c r="X850" s="74"/>
      <c r="Y850" s="109">
        <f t="shared" si="178"/>
        <v>7000</v>
      </c>
      <c r="Z850" s="76"/>
    </row>
    <row r="851" spans="1:26" s="29" customFormat="1" ht="21.4" hidden="1" customHeight="1" x14ac:dyDescent="0.2">
      <c r="A851" s="30"/>
      <c r="B851" s="48" t="s">
        <v>7</v>
      </c>
      <c r="C851" s="39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0</v>
      </c>
      <c r="F851" s="48" t="s">
        <v>67</v>
      </c>
      <c r="G851" s="43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0</v>
      </c>
      <c r="H851" s="47"/>
      <c r="I851" s="456" t="s">
        <v>71</v>
      </c>
      <c r="J851" s="457"/>
      <c r="K851" s="53">
        <f>K849+K850</f>
        <v>0</v>
      </c>
      <c r="L851" s="54"/>
      <c r="N851" s="71"/>
      <c r="O851" s="72" t="s">
        <v>52</v>
      </c>
      <c r="P851" s="72"/>
      <c r="Q851" s="72"/>
      <c r="R851" s="72" t="str">
        <f t="shared" si="176"/>
        <v/>
      </c>
      <c r="S851" s="63"/>
      <c r="T851" s="72" t="s">
        <v>52</v>
      </c>
      <c r="U851" s="109">
        <f>Y850</f>
        <v>7000</v>
      </c>
      <c r="V851" s="74"/>
      <c r="W851" s="109">
        <f t="shared" si="177"/>
        <v>7000</v>
      </c>
      <c r="X851" s="74"/>
      <c r="Y851" s="109">
        <f t="shared" si="178"/>
        <v>7000</v>
      </c>
      <c r="Z851" s="76"/>
    </row>
    <row r="852" spans="1:26" s="29" customFormat="1" ht="21.4" hidden="1" customHeight="1" x14ac:dyDescent="0.2">
      <c r="A852" s="30"/>
      <c r="B852" s="48" t="s">
        <v>6</v>
      </c>
      <c r="C852" s="39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0</v>
      </c>
      <c r="F852" s="48" t="s">
        <v>23</v>
      </c>
      <c r="G852" s="43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0</v>
      </c>
      <c r="H852" s="47"/>
      <c r="I852" s="456" t="s">
        <v>72</v>
      </c>
      <c r="J852" s="457"/>
      <c r="K852" s="43">
        <f>G852</f>
        <v>0</v>
      </c>
      <c r="L852" s="55"/>
      <c r="N852" s="71"/>
      <c r="O852" s="72" t="s">
        <v>53</v>
      </c>
      <c r="P852" s="72"/>
      <c r="Q852" s="72"/>
      <c r="R852" s="72" t="str">
        <f t="shared" si="176"/>
        <v/>
      </c>
      <c r="S852" s="63"/>
      <c r="T852" s="72" t="s">
        <v>53</v>
      </c>
      <c r="U852" s="109">
        <v>0</v>
      </c>
      <c r="V852" s="74"/>
      <c r="W852" s="109">
        <f t="shared" si="177"/>
        <v>0</v>
      </c>
      <c r="X852" s="74"/>
      <c r="Y852" s="109">
        <f t="shared" si="178"/>
        <v>0</v>
      </c>
      <c r="Z852" s="76"/>
    </row>
    <row r="853" spans="1:26" s="29" customFormat="1" ht="21.4" hidden="1" customHeight="1" x14ac:dyDescent="0.2">
      <c r="A853" s="30"/>
      <c r="B853" s="56" t="s">
        <v>70</v>
      </c>
      <c r="C853" s="39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>0</v>
      </c>
      <c r="F853" s="48" t="s">
        <v>69</v>
      </c>
      <c r="G853" s="43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0</v>
      </c>
      <c r="I853" s="458" t="s">
        <v>65</v>
      </c>
      <c r="J853" s="459"/>
      <c r="K853" s="57"/>
      <c r="L853" s="58"/>
      <c r="N853" s="71"/>
      <c r="O853" s="72" t="s">
        <v>58</v>
      </c>
      <c r="P853" s="72"/>
      <c r="Q853" s="72"/>
      <c r="R853" s="72" t="str">
        <f t="shared" si="176"/>
        <v/>
      </c>
      <c r="S853" s="63"/>
      <c r="T853" s="72" t="s">
        <v>58</v>
      </c>
      <c r="U853" s="109">
        <f>IF($J$1="August","",Y852)</f>
        <v>0</v>
      </c>
      <c r="V853" s="74"/>
      <c r="W853" s="109">
        <f t="shared" si="177"/>
        <v>0</v>
      </c>
      <c r="X853" s="74"/>
      <c r="Y853" s="109">
        <f t="shared" si="178"/>
        <v>0</v>
      </c>
      <c r="Z853" s="76"/>
    </row>
    <row r="854" spans="1:26" s="29" customFormat="1" ht="21.4" hidden="1" customHeight="1" x14ac:dyDescent="0.2">
      <c r="A854" s="30"/>
      <c r="J854" s="113"/>
      <c r="L854" s="46"/>
      <c r="N854" s="71"/>
      <c r="O854" s="72" t="s">
        <v>54</v>
      </c>
      <c r="P854" s="72"/>
      <c r="Q854" s="72"/>
      <c r="R854" s="72">
        <v>0</v>
      </c>
      <c r="S854" s="63"/>
      <c r="T854" s="72" t="s">
        <v>54</v>
      </c>
      <c r="U854" s="109">
        <f>IF($J$1="September","",Y853)</f>
        <v>0</v>
      </c>
      <c r="V854" s="74"/>
      <c r="W854" s="109">
        <f t="shared" si="177"/>
        <v>0</v>
      </c>
      <c r="X854" s="74"/>
      <c r="Y854" s="109">
        <f t="shared" si="178"/>
        <v>0</v>
      </c>
      <c r="Z854" s="76"/>
    </row>
    <row r="855" spans="1:26" s="29" customFormat="1" ht="21.4" hidden="1" customHeight="1" x14ac:dyDescent="0.2">
      <c r="A855" s="30"/>
      <c r="B855" s="541"/>
      <c r="C855" s="541"/>
      <c r="D855" s="541"/>
      <c r="E855" s="541"/>
      <c r="F855" s="541"/>
      <c r="G855" s="541"/>
      <c r="H855" s="541"/>
      <c r="I855" s="541"/>
      <c r="J855" s="541"/>
      <c r="K855" s="541"/>
      <c r="L855" s="46"/>
      <c r="N855" s="71"/>
      <c r="O855" s="72" t="s">
        <v>59</v>
      </c>
      <c r="P855" s="72"/>
      <c r="Q855" s="72"/>
      <c r="R855" s="72">
        <v>0</v>
      </c>
      <c r="S855" s="63"/>
      <c r="T855" s="72" t="s">
        <v>59</v>
      </c>
      <c r="U855" s="109" t="str">
        <f>IF($J$1="October","",Y854)</f>
        <v/>
      </c>
      <c r="V855" s="74"/>
      <c r="W855" s="109" t="str">
        <f t="shared" si="177"/>
        <v/>
      </c>
      <c r="X855" s="74"/>
      <c r="Y855" s="109" t="str">
        <f t="shared" si="178"/>
        <v/>
      </c>
      <c r="Z855" s="76"/>
    </row>
    <row r="856" spans="1:26" s="29" customFormat="1" ht="21.4" hidden="1" customHeight="1" x14ac:dyDescent="0.2">
      <c r="A856" s="30"/>
      <c r="B856" s="541"/>
      <c r="C856" s="541"/>
      <c r="D856" s="541"/>
      <c r="E856" s="541"/>
      <c r="F856" s="541"/>
      <c r="G856" s="541"/>
      <c r="H856" s="541"/>
      <c r="I856" s="541"/>
      <c r="J856" s="541"/>
      <c r="K856" s="541"/>
      <c r="L856" s="46"/>
      <c r="N856" s="71"/>
      <c r="O856" s="72" t="s">
        <v>60</v>
      </c>
      <c r="P856" s="72"/>
      <c r="Q856" s="72"/>
      <c r="R856" s="72">
        <v>0</v>
      </c>
      <c r="S856" s="63"/>
      <c r="T856" s="72" t="s">
        <v>60</v>
      </c>
      <c r="U856" s="109" t="str">
        <f>IF($J$1="November","",Y855)</f>
        <v/>
      </c>
      <c r="V856" s="74"/>
      <c r="W856" s="109" t="str">
        <f t="shared" si="177"/>
        <v/>
      </c>
      <c r="X856" s="74"/>
      <c r="Y856" s="109" t="str">
        <f t="shared" si="178"/>
        <v/>
      </c>
      <c r="Z856" s="76"/>
    </row>
    <row r="857" spans="1:26" s="29" customFormat="1" ht="21.4" hidden="1" customHeight="1" thickBot="1" x14ac:dyDescent="0.25">
      <c r="A857" s="5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1"/>
      <c r="N857" s="77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9"/>
    </row>
    <row r="858" spans="1:26" s="29" customFormat="1" ht="21.4" hidden="1" customHeight="1" thickBot="1" x14ac:dyDescent="0.25">
      <c r="A858" s="30"/>
      <c r="L858" s="46"/>
      <c r="N858" s="71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85"/>
    </row>
    <row r="859" spans="1:26" s="29" customFormat="1" ht="21" customHeight="1" x14ac:dyDescent="0.2">
      <c r="A859" s="463" t="s">
        <v>42</v>
      </c>
      <c r="B859" s="464"/>
      <c r="C859" s="464"/>
      <c r="D859" s="464"/>
      <c r="E859" s="464"/>
      <c r="F859" s="464"/>
      <c r="G859" s="464"/>
      <c r="H859" s="464"/>
      <c r="I859" s="464"/>
      <c r="J859" s="464"/>
      <c r="K859" s="464"/>
      <c r="L859" s="465"/>
      <c r="M859" s="28"/>
      <c r="N859" s="64"/>
      <c r="O859" s="469" t="s">
        <v>44</v>
      </c>
      <c r="P859" s="470"/>
      <c r="Q859" s="470"/>
      <c r="R859" s="471"/>
      <c r="S859" s="65"/>
      <c r="T859" s="469" t="s">
        <v>45</v>
      </c>
      <c r="U859" s="470"/>
      <c r="V859" s="470"/>
      <c r="W859" s="470"/>
      <c r="X859" s="470"/>
      <c r="Y859" s="471"/>
      <c r="Z859" s="66"/>
    </row>
    <row r="860" spans="1:26" s="29" customFormat="1" ht="21" customHeight="1" x14ac:dyDescent="0.2">
      <c r="A860" s="30"/>
      <c r="C860" s="466" t="s">
        <v>92</v>
      </c>
      <c r="D860" s="466"/>
      <c r="E860" s="466"/>
      <c r="F860" s="466"/>
      <c r="G860" s="31" t="str">
        <f>$J$1</f>
        <v>October</v>
      </c>
      <c r="H860" s="467">
        <f>$K$1</f>
        <v>2022</v>
      </c>
      <c r="I860" s="467"/>
      <c r="K860" s="32"/>
      <c r="L860" s="33"/>
      <c r="M860" s="32"/>
      <c r="N860" s="67"/>
      <c r="O860" s="68" t="s">
        <v>55</v>
      </c>
      <c r="P860" s="68" t="s">
        <v>7</v>
      </c>
      <c r="Q860" s="68" t="s">
        <v>6</v>
      </c>
      <c r="R860" s="68" t="s">
        <v>56</v>
      </c>
      <c r="S860" s="69"/>
      <c r="T860" s="68" t="s">
        <v>55</v>
      </c>
      <c r="U860" s="68" t="s">
        <v>57</v>
      </c>
      <c r="V860" s="68" t="s">
        <v>22</v>
      </c>
      <c r="W860" s="68" t="s">
        <v>21</v>
      </c>
      <c r="X860" s="68" t="s">
        <v>23</v>
      </c>
      <c r="Y860" s="68" t="s">
        <v>61</v>
      </c>
      <c r="Z860" s="70"/>
    </row>
    <row r="861" spans="1:26" s="29" customFormat="1" ht="21" customHeight="1" x14ac:dyDescent="0.2">
      <c r="A861" s="30"/>
      <c r="D861" s="35"/>
      <c r="E861" s="35"/>
      <c r="F861" s="35"/>
      <c r="G861" s="35"/>
      <c r="H861" s="35"/>
      <c r="J861" s="36" t="s">
        <v>1</v>
      </c>
      <c r="K861" s="37">
        <f>20000+2000</f>
        <v>22000</v>
      </c>
      <c r="L861" s="38"/>
      <c r="N861" s="71"/>
      <c r="O861" s="72" t="s">
        <v>47</v>
      </c>
      <c r="P861" s="72">
        <v>24</v>
      </c>
      <c r="Q861" s="72">
        <v>7</v>
      </c>
      <c r="R861" s="72"/>
      <c r="S861" s="73"/>
      <c r="T861" s="72" t="s">
        <v>47</v>
      </c>
      <c r="U861" s="74"/>
      <c r="V861" s="74"/>
      <c r="W861" s="74">
        <f>V861+U861</f>
        <v>0</v>
      </c>
      <c r="X861" s="74"/>
      <c r="Y861" s="74">
        <f>W861-X861</f>
        <v>0</v>
      </c>
      <c r="Z861" s="70"/>
    </row>
    <row r="862" spans="1:26" s="29" customFormat="1" ht="21" customHeight="1" x14ac:dyDescent="0.2">
      <c r="A862" s="30"/>
      <c r="B862" s="29" t="s">
        <v>0</v>
      </c>
      <c r="C862" s="40" t="s">
        <v>235</v>
      </c>
      <c r="H862" s="41"/>
      <c r="I862" s="35"/>
      <c r="L862" s="42"/>
      <c r="M862" s="28"/>
      <c r="N862" s="75"/>
      <c r="O862" s="72" t="s">
        <v>73</v>
      </c>
      <c r="P862" s="72">
        <v>25</v>
      </c>
      <c r="Q862" s="72">
        <v>3</v>
      </c>
      <c r="R862" s="72"/>
      <c r="S862" s="63"/>
      <c r="T862" s="72" t="s">
        <v>73</v>
      </c>
      <c r="U862" s="109">
        <f>IF($J$1="January","",Y861)</f>
        <v>0</v>
      </c>
      <c r="V862" s="74">
        <v>5000</v>
      </c>
      <c r="W862" s="109">
        <f>IF(U862="","",U862+V862)</f>
        <v>5000</v>
      </c>
      <c r="X862" s="74">
        <v>1000</v>
      </c>
      <c r="Y862" s="109">
        <f>IF(W862="","",W862-X862)</f>
        <v>4000</v>
      </c>
      <c r="Z862" s="76"/>
    </row>
    <row r="863" spans="1:26" s="29" customFormat="1" ht="21" customHeight="1" x14ac:dyDescent="0.2">
      <c r="A863" s="30"/>
      <c r="B863" s="44" t="s">
        <v>43</v>
      </c>
      <c r="C863" s="40"/>
      <c r="F863" s="468" t="s">
        <v>45</v>
      </c>
      <c r="G863" s="468"/>
      <c r="I863" s="468" t="s">
        <v>46</v>
      </c>
      <c r="J863" s="468"/>
      <c r="K863" s="468"/>
      <c r="L863" s="46"/>
      <c r="N863" s="71"/>
      <c r="O863" s="72" t="s">
        <v>48</v>
      </c>
      <c r="P863" s="72">
        <v>29</v>
      </c>
      <c r="Q863" s="72">
        <v>2</v>
      </c>
      <c r="R863" s="72"/>
      <c r="S863" s="63"/>
      <c r="T863" s="72" t="s">
        <v>48</v>
      </c>
      <c r="U863" s="109">
        <f>IF($J$1="February","",Y862)</f>
        <v>4000</v>
      </c>
      <c r="V863" s="74">
        <f>2500+1000</f>
        <v>3500</v>
      </c>
      <c r="W863" s="109">
        <f t="shared" ref="W863:W872" si="179">IF(U863="","",U863+V863)</f>
        <v>7500</v>
      </c>
      <c r="X863" s="74">
        <v>3500</v>
      </c>
      <c r="Y863" s="109">
        <f t="shared" ref="Y863:Y872" si="180">IF(W863="","",W863-X863)</f>
        <v>4000</v>
      </c>
      <c r="Z863" s="76"/>
    </row>
    <row r="864" spans="1:26" s="29" customFormat="1" ht="21" customHeight="1" x14ac:dyDescent="0.2">
      <c r="A864" s="30"/>
      <c r="H864" s="47"/>
      <c r="L864" s="34"/>
      <c r="N864" s="71"/>
      <c r="O864" s="72" t="s">
        <v>49</v>
      </c>
      <c r="P864" s="72">
        <v>29</v>
      </c>
      <c r="Q864" s="72">
        <v>1</v>
      </c>
      <c r="R864" s="72"/>
      <c r="S864" s="63"/>
      <c r="T864" s="72" t="s">
        <v>49</v>
      </c>
      <c r="U864" s="109">
        <f>IF($J$1="March","",Y863)</f>
        <v>4000</v>
      </c>
      <c r="V864" s="74">
        <v>2000</v>
      </c>
      <c r="W864" s="109">
        <f t="shared" si="179"/>
        <v>6000</v>
      </c>
      <c r="X864" s="74">
        <v>3500</v>
      </c>
      <c r="Y864" s="109">
        <f t="shared" si="180"/>
        <v>2500</v>
      </c>
      <c r="Z864" s="76"/>
    </row>
    <row r="865" spans="1:26" s="29" customFormat="1" ht="21" customHeight="1" x14ac:dyDescent="0.2">
      <c r="A865" s="30"/>
      <c r="B865" s="472" t="s">
        <v>44</v>
      </c>
      <c r="C865" s="473"/>
      <c r="F865" s="48" t="s">
        <v>66</v>
      </c>
      <c r="G865" s="43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8000</v>
      </c>
      <c r="H865" s="47"/>
      <c r="I865" s="420">
        <f>IF(C869&gt;0,$K$2,C867)+2</f>
        <v>29</v>
      </c>
      <c r="J865" s="50" t="s">
        <v>63</v>
      </c>
      <c r="K865" s="51">
        <f>K861/$K$2*I865</f>
        <v>20580.645161290322</v>
      </c>
      <c r="L865" s="52"/>
      <c r="N865" s="71"/>
      <c r="O865" s="72" t="s">
        <v>50</v>
      </c>
      <c r="P865" s="72">
        <v>29</v>
      </c>
      <c r="Q865" s="72">
        <v>2</v>
      </c>
      <c r="R865" s="72">
        <f>15-Q865</f>
        <v>13</v>
      </c>
      <c r="S865" s="63"/>
      <c r="T865" s="72" t="s">
        <v>50</v>
      </c>
      <c r="U865" s="109">
        <f>IF($J$1="April","",Y864)</f>
        <v>2500</v>
      </c>
      <c r="V865" s="74">
        <f>1000+1000</f>
        <v>2000</v>
      </c>
      <c r="W865" s="109">
        <f t="shared" si="179"/>
        <v>4500</v>
      </c>
      <c r="X865" s="74">
        <v>1500</v>
      </c>
      <c r="Y865" s="109">
        <f t="shared" si="180"/>
        <v>3000</v>
      </c>
      <c r="Z865" s="76"/>
    </row>
    <row r="866" spans="1:26" s="29" customFormat="1" ht="21" customHeight="1" x14ac:dyDescent="0.2">
      <c r="A866" s="30"/>
      <c r="B866" s="39"/>
      <c r="C866" s="39"/>
      <c r="F866" s="48" t="s">
        <v>22</v>
      </c>
      <c r="G866" s="43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6500</v>
      </c>
      <c r="H866" s="47"/>
      <c r="I866" s="84">
        <v>15</v>
      </c>
      <c r="J866" s="50" t="s">
        <v>64</v>
      </c>
      <c r="K866" s="53">
        <f>K861/$K$2/8*I866</f>
        <v>1330.6451612903224</v>
      </c>
      <c r="L866" s="54"/>
      <c r="N866" s="71"/>
      <c r="O866" s="72" t="s">
        <v>51</v>
      </c>
      <c r="P866" s="72">
        <v>27</v>
      </c>
      <c r="Q866" s="72">
        <v>3</v>
      </c>
      <c r="R866" s="72">
        <f t="shared" ref="R866:R872" si="181">R865-Q866</f>
        <v>10</v>
      </c>
      <c r="S866" s="63"/>
      <c r="T866" s="72" t="s">
        <v>51</v>
      </c>
      <c r="U866" s="109">
        <f>Y865</f>
        <v>3000</v>
      </c>
      <c r="V866" s="74">
        <f>2000+5000</f>
        <v>7000</v>
      </c>
      <c r="W866" s="109">
        <f t="shared" si="179"/>
        <v>10000</v>
      </c>
      <c r="X866" s="74">
        <v>2000</v>
      </c>
      <c r="Y866" s="109">
        <f t="shared" si="180"/>
        <v>8000</v>
      </c>
      <c r="Z866" s="76"/>
    </row>
    <row r="867" spans="1:26" s="29" customFormat="1" ht="21" customHeight="1" x14ac:dyDescent="0.2">
      <c r="A867" s="30"/>
      <c r="B867" s="48" t="s">
        <v>7</v>
      </c>
      <c r="C867" s="39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27</v>
      </c>
      <c r="F867" s="48" t="s">
        <v>67</v>
      </c>
      <c r="G867" s="43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14500</v>
      </c>
      <c r="H867" s="47"/>
      <c r="I867" s="456" t="s">
        <v>71</v>
      </c>
      <c r="J867" s="457"/>
      <c r="K867" s="53">
        <f>K865+K866</f>
        <v>21911.290322580644</v>
      </c>
      <c r="L867" s="54"/>
      <c r="N867" s="71"/>
      <c r="O867" s="72" t="s">
        <v>52</v>
      </c>
      <c r="P867" s="72">
        <v>29</v>
      </c>
      <c r="Q867" s="72">
        <v>2</v>
      </c>
      <c r="R867" s="72">
        <f t="shared" si="181"/>
        <v>8</v>
      </c>
      <c r="S867" s="63"/>
      <c r="T867" s="72" t="s">
        <v>52</v>
      </c>
      <c r="U867" s="109">
        <f>Y866</f>
        <v>8000</v>
      </c>
      <c r="V867" s="74">
        <v>1000</v>
      </c>
      <c r="W867" s="109">
        <f t="shared" si="179"/>
        <v>9000</v>
      </c>
      <c r="X867" s="74">
        <v>2000</v>
      </c>
      <c r="Y867" s="109">
        <f t="shared" si="180"/>
        <v>7000</v>
      </c>
      <c r="Z867" s="76"/>
    </row>
    <row r="868" spans="1:26" s="29" customFormat="1" ht="21" customHeight="1" x14ac:dyDescent="0.2">
      <c r="A868" s="30"/>
      <c r="B868" s="48" t="s">
        <v>6</v>
      </c>
      <c r="C868" s="39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4</v>
      </c>
      <c r="F868" s="48" t="s">
        <v>23</v>
      </c>
      <c r="G868" s="43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2500</v>
      </c>
      <c r="H868" s="47"/>
      <c r="I868" s="456" t="s">
        <v>72</v>
      </c>
      <c r="J868" s="457"/>
      <c r="K868" s="43">
        <f>G868</f>
        <v>2500</v>
      </c>
      <c r="L868" s="55"/>
      <c r="N868" s="71"/>
      <c r="O868" s="72" t="s">
        <v>53</v>
      </c>
      <c r="P868" s="72">
        <v>29</v>
      </c>
      <c r="Q868" s="72">
        <v>2</v>
      </c>
      <c r="R868" s="72">
        <f t="shared" si="181"/>
        <v>6</v>
      </c>
      <c r="S868" s="63"/>
      <c r="T868" s="72" t="s">
        <v>53</v>
      </c>
      <c r="U868" s="109">
        <f>Y867</f>
        <v>7000</v>
      </c>
      <c r="V868" s="74">
        <f>2000+500</f>
        <v>2500</v>
      </c>
      <c r="W868" s="109">
        <f t="shared" si="179"/>
        <v>9500</v>
      </c>
      <c r="X868" s="74">
        <v>2500</v>
      </c>
      <c r="Y868" s="109">
        <f t="shared" si="180"/>
        <v>7000</v>
      </c>
      <c r="Z868" s="76"/>
    </row>
    <row r="869" spans="1:26" s="29" customFormat="1" ht="21" customHeight="1" x14ac:dyDescent="0.2">
      <c r="A869" s="30"/>
      <c r="B869" s="56" t="s">
        <v>70</v>
      </c>
      <c r="C869" s="39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0</v>
      </c>
      <c r="F869" s="48" t="s">
        <v>69</v>
      </c>
      <c r="G869" s="43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12000</v>
      </c>
      <c r="I869" s="458" t="s">
        <v>65</v>
      </c>
      <c r="J869" s="459"/>
      <c r="K869" s="57">
        <f>K867-K868</f>
        <v>19411.290322580644</v>
      </c>
      <c r="L869" s="58"/>
      <c r="N869" s="71"/>
      <c r="O869" s="72" t="s">
        <v>58</v>
      </c>
      <c r="P869" s="72">
        <v>26</v>
      </c>
      <c r="Q869" s="72">
        <v>4</v>
      </c>
      <c r="R869" s="72">
        <f t="shared" si="181"/>
        <v>2</v>
      </c>
      <c r="S869" s="63"/>
      <c r="T869" s="72" t="s">
        <v>58</v>
      </c>
      <c r="U869" s="109">
        <f>Y868</f>
        <v>7000</v>
      </c>
      <c r="V869" s="74">
        <f>1000+2000</f>
        <v>3000</v>
      </c>
      <c r="W869" s="109">
        <f t="shared" si="179"/>
        <v>10000</v>
      </c>
      <c r="X869" s="74">
        <v>2000</v>
      </c>
      <c r="Y869" s="109">
        <f t="shared" si="180"/>
        <v>8000</v>
      </c>
      <c r="Z869" s="76"/>
    </row>
    <row r="870" spans="1:26" s="29" customFormat="1" ht="21" customHeight="1" x14ac:dyDescent="0.2">
      <c r="A870" s="30"/>
      <c r="K870" s="113"/>
      <c r="L870" s="46"/>
      <c r="N870" s="71"/>
      <c r="O870" s="72" t="s">
        <v>54</v>
      </c>
      <c r="P870" s="72">
        <v>27</v>
      </c>
      <c r="Q870" s="72">
        <v>4</v>
      </c>
      <c r="R870" s="72">
        <v>0</v>
      </c>
      <c r="S870" s="63"/>
      <c r="T870" s="72" t="s">
        <v>54</v>
      </c>
      <c r="U870" s="109">
        <f>Y869</f>
        <v>8000</v>
      </c>
      <c r="V870" s="74">
        <f>2000+1500+1000+2000</f>
        <v>6500</v>
      </c>
      <c r="W870" s="109">
        <f t="shared" si="179"/>
        <v>14500</v>
      </c>
      <c r="X870" s="74">
        <v>2500</v>
      </c>
      <c r="Y870" s="109">
        <f t="shared" si="180"/>
        <v>12000</v>
      </c>
      <c r="Z870" s="76"/>
    </row>
    <row r="871" spans="1:26" s="29" customFormat="1" ht="21" customHeight="1" x14ac:dyDescent="0.2">
      <c r="A871" s="30"/>
      <c r="B871" s="455" t="s">
        <v>94</v>
      </c>
      <c r="C871" s="455"/>
      <c r="D871" s="455"/>
      <c r="E871" s="455"/>
      <c r="F871" s="455"/>
      <c r="G871" s="455"/>
      <c r="H871" s="455"/>
      <c r="I871" s="455"/>
      <c r="J871" s="455"/>
      <c r="K871" s="455"/>
      <c r="L871" s="46"/>
      <c r="N871" s="71"/>
      <c r="O871" s="72" t="s">
        <v>59</v>
      </c>
      <c r="P871" s="72"/>
      <c r="Q871" s="72"/>
      <c r="R871" s="72">
        <f t="shared" si="181"/>
        <v>0</v>
      </c>
      <c r="S871" s="63"/>
      <c r="T871" s="72" t="s">
        <v>59</v>
      </c>
      <c r="U871" s="109"/>
      <c r="V871" s="74"/>
      <c r="W871" s="109" t="str">
        <f t="shared" si="179"/>
        <v/>
      </c>
      <c r="X871" s="74"/>
      <c r="Y871" s="109" t="str">
        <f t="shared" si="180"/>
        <v/>
      </c>
      <c r="Z871" s="76"/>
    </row>
    <row r="872" spans="1:26" s="29" customFormat="1" ht="21" customHeight="1" x14ac:dyDescent="0.2">
      <c r="A872" s="30"/>
      <c r="B872" s="455"/>
      <c r="C872" s="455"/>
      <c r="D872" s="455"/>
      <c r="E872" s="455"/>
      <c r="F872" s="455"/>
      <c r="G872" s="455"/>
      <c r="H872" s="455"/>
      <c r="I872" s="455"/>
      <c r="J872" s="455"/>
      <c r="K872" s="455"/>
      <c r="L872" s="46"/>
      <c r="N872" s="71"/>
      <c r="O872" s="72" t="s">
        <v>60</v>
      </c>
      <c r="P872" s="72"/>
      <c r="Q872" s="72"/>
      <c r="R872" s="72">
        <f t="shared" si="181"/>
        <v>0</v>
      </c>
      <c r="S872" s="63"/>
      <c r="T872" s="72" t="s">
        <v>60</v>
      </c>
      <c r="U872" s="109" t="str">
        <f>IF($J$1="November","",Y871)</f>
        <v/>
      </c>
      <c r="V872" s="74"/>
      <c r="W872" s="109" t="str">
        <f t="shared" si="179"/>
        <v/>
      </c>
      <c r="X872" s="74"/>
      <c r="Y872" s="109" t="str">
        <f t="shared" si="180"/>
        <v/>
      </c>
      <c r="Z872" s="76"/>
    </row>
    <row r="873" spans="1:26" s="29" customFormat="1" ht="21" customHeight="1" thickBot="1" x14ac:dyDescent="0.25">
      <c r="A873" s="5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1"/>
      <c r="N873" s="77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9"/>
    </row>
    <row r="874" spans="1:26" s="29" customFormat="1" ht="21" customHeight="1" thickBot="1" x14ac:dyDescent="0.25"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s="29" customFormat="1" ht="21.4" hidden="1" customHeight="1" x14ac:dyDescent="0.2">
      <c r="A875" s="463" t="s">
        <v>42</v>
      </c>
      <c r="B875" s="464"/>
      <c r="C875" s="464"/>
      <c r="D875" s="464"/>
      <c r="E875" s="464"/>
      <c r="F875" s="464"/>
      <c r="G875" s="464"/>
      <c r="H875" s="464"/>
      <c r="I875" s="464"/>
      <c r="J875" s="464"/>
      <c r="K875" s="464"/>
      <c r="L875" s="465"/>
      <c r="M875" s="28"/>
      <c r="N875" s="64"/>
      <c r="O875" s="469" t="s">
        <v>44</v>
      </c>
      <c r="P875" s="470"/>
      <c r="Q875" s="470"/>
      <c r="R875" s="471"/>
      <c r="S875" s="65"/>
      <c r="T875" s="469" t="s">
        <v>45</v>
      </c>
      <c r="U875" s="470"/>
      <c r="V875" s="470"/>
      <c r="W875" s="470"/>
      <c r="X875" s="470"/>
      <c r="Y875" s="471"/>
      <c r="Z875" s="66"/>
    </row>
    <row r="876" spans="1:26" s="29" customFormat="1" ht="21.4" hidden="1" customHeight="1" x14ac:dyDescent="0.2">
      <c r="A876" s="30"/>
      <c r="C876" s="466" t="s">
        <v>92</v>
      </c>
      <c r="D876" s="466"/>
      <c r="E876" s="466"/>
      <c r="F876" s="466"/>
      <c r="G876" s="31" t="str">
        <f>$J$1</f>
        <v>October</v>
      </c>
      <c r="H876" s="467">
        <f>$K$1</f>
        <v>2022</v>
      </c>
      <c r="I876" s="467"/>
      <c r="K876" s="32"/>
      <c r="L876" s="33"/>
      <c r="M876" s="32"/>
      <c r="N876" s="67"/>
      <c r="O876" s="68" t="s">
        <v>55</v>
      </c>
      <c r="P876" s="68" t="s">
        <v>7</v>
      </c>
      <c r="Q876" s="68" t="s">
        <v>6</v>
      </c>
      <c r="R876" s="68" t="s">
        <v>56</v>
      </c>
      <c r="S876" s="69"/>
      <c r="T876" s="68" t="s">
        <v>55</v>
      </c>
      <c r="U876" s="68" t="s">
        <v>57</v>
      </c>
      <c r="V876" s="68" t="s">
        <v>22</v>
      </c>
      <c r="W876" s="68" t="s">
        <v>21</v>
      </c>
      <c r="X876" s="68" t="s">
        <v>23</v>
      </c>
      <c r="Y876" s="68" t="s">
        <v>61</v>
      </c>
      <c r="Z876" s="70"/>
    </row>
    <row r="877" spans="1:26" s="29" customFormat="1" ht="21.4" hidden="1" customHeight="1" x14ac:dyDescent="0.2">
      <c r="A877" s="30"/>
      <c r="D877" s="35"/>
      <c r="E877" s="35"/>
      <c r="F877" s="35"/>
      <c r="G877" s="35"/>
      <c r="H877" s="35"/>
      <c r="J877" s="36" t="s">
        <v>1</v>
      </c>
      <c r="K877" s="37"/>
      <c r="L877" s="38"/>
      <c r="N877" s="71"/>
      <c r="O877" s="72" t="s">
        <v>47</v>
      </c>
      <c r="P877" s="72"/>
      <c r="Q877" s="72"/>
      <c r="R877" s="72"/>
      <c r="S877" s="73"/>
      <c r="T877" s="72" t="s">
        <v>47</v>
      </c>
      <c r="U877" s="74"/>
      <c r="V877" s="74"/>
      <c r="W877" s="74">
        <f>V877+U877</f>
        <v>0</v>
      </c>
      <c r="X877" s="74"/>
      <c r="Y877" s="74">
        <f>W877-X877</f>
        <v>0</v>
      </c>
      <c r="Z877" s="70"/>
    </row>
    <row r="878" spans="1:26" s="29" customFormat="1" ht="21.4" hidden="1" customHeight="1" x14ac:dyDescent="0.2">
      <c r="A878" s="30"/>
      <c r="B878" s="29" t="s">
        <v>0</v>
      </c>
      <c r="C878" s="40" t="s">
        <v>248</v>
      </c>
      <c r="H878" s="41"/>
      <c r="I878" s="35"/>
      <c r="L878" s="42"/>
      <c r="M878" s="28"/>
      <c r="N878" s="75"/>
      <c r="O878" s="72" t="s">
        <v>73</v>
      </c>
      <c r="P878" s="72"/>
      <c r="Q878" s="72"/>
      <c r="R878" s="72"/>
      <c r="S878" s="63"/>
      <c r="T878" s="72" t="s">
        <v>73</v>
      </c>
      <c r="U878" s="109">
        <f>IF($J$1="January","",Y877)</f>
        <v>0</v>
      </c>
      <c r="V878" s="74"/>
      <c r="W878" s="109">
        <f>IF(U878="","",U878+V878)</f>
        <v>0</v>
      </c>
      <c r="X878" s="74"/>
      <c r="Y878" s="109">
        <f>IF(W878="","",W878-X878)</f>
        <v>0</v>
      </c>
      <c r="Z878" s="76"/>
    </row>
    <row r="879" spans="1:26" s="29" customFormat="1" ht="21.4" hidden="1" customHeight="1" x14ac:dyDescent="0.2">
      <c r="A879" s="30"/>
      <c r="B879" s="44" t="s">
        <v>43</v>
      </c>
      <c r="C879" s="40"/>
      <c r="F879" s="468" t="s">
        <v>45</v>
      </c>
      <c r="G879" s="468"/>
      <c r="I879" s="468" t="s">
        <v>46</v>
      </c>
      <c r="J879" s="468"/>
      <c r="K879" s="468"/>
      <c r="L879" s="46"/>
      <c r="N879" s="71"/>
      <c r="O879" s="72" t="s">
        <v>48</v>
      </c>
      <c r="P879" s="72"/>
      <c r="Q879" s="72"/>
      <c r="R879" s="72"/>
      <c r="S879" s="63"/>
      <c r="T879" s="72" t="s">
        <v>48</v>
      </c>
      <c r="U879" s="109">
        <f>IF($J$1="February","",Y878)</f>
        <v>0</v>
      </c>
      <c r="V879" s="74"/>
      <c r="W879" s="109">
        <f t="shared" ref="W879:W888" si="182">IF(U879="","",U879+V879)</f>
        <v>0</v>
      </c>
      <c r="X879" s="74"/>
      <c r="Y879" s="109">
        <f t="shared" ref="Y879:Y888" si="183">IF(W879="","",W879-X879)</f>
        <v>0</v>
      </c>
      <c r="Z879" s="76"/>
    </row>
    <row r="880" spans="1:26" s="29" customFormat="1" ht="21.4" hidden="1" customHeight="1" x14ac:dyDescent="0.2">
      <c r="A880" s="30"/>
      <c r="H880" s="47"/>
      <c r="L880" s="34"/>
      <c r="N880" s="71"/>
      <c r="O880" s="72" t="s">
        <v>49</v>
      </c>
      <c r="P880" s="72"/>
      <c r="Q880" s="72"/>
      <c r="R880" s="72"/>
      <c r="S880" s="63"/>
      <c r="T880" s="72" t="s">
        <v>49</v>
      </c>
      <c r="U880" s="109">
        <f>IF($J$1="March","",Y879)</f>
        <v>0</v>
      </c>
      <c r="V880" s="74"/>
      <c r="W880" s="109">
        <f t="shared" si="182"/>
        <v>0</v>
      </c>
      <c r="X880" s="74"/>
      <c r="Y880" s="109">
        <f t="shared" si="183"/>
        <v>0</v>
      </c>
      <c r="Z880" s="76"/>
    </row>
    <row r="881" spans="1:26" s="29" customFormat="1" ht="21.4" hidden="1" customHeight="1" x14ac:dyDescent="0.2">
      <c r="A881" s="30"/>
      <c r="B881" s="472" t="s">
        <v>44</v>
      </c>
      <c r="C881" s="473"/>
      <c r="F881" s="48" t="s">
        <v>66</v>
      </c>
      <c r="G881" s="43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7"/>
      <c r="I881" s="344"/>
      <c r="J881" s="50" t="s">
        <v>63</v>
      </c>
      <c r="K881" s="51">
        <f>K877*I881</f>
        <v>0</v>
      </c>
      <c r="L881" s="52"/>
      <c r="N881" s="71"/>
      <c r="O881" s="72" t="s">
        <v>50</v>
      </c>
      <c r="P881" s="72"/>
      <c r="Q881" s="72"/>
      <c r="R881" s="72"/>
      <c r="S881" s="63"/>
      <c r="T881" s="72" t="s">
        <v>50</v>
      </c>
      <c r="U881" s="109">
        <f>IF($J$1="April","",Y880)</f>
        <v>0</v>
      </c>
      <c r="V881" s="74"/>
      <c r="W881" s="109">
        <f t="shared" si="182"/>
        <v>0</v>
      </c>
      <c r="X881" s="74"/>
      <c r="Y881" s="109">
        <f t="shared" si="183"/>
        <v>0</v>
      </c>
      <c r="Z881" s="76"/>
    </row>
    <row r="882" spans="1:26" s="29" customFormat="1" ht="21.4" hidden="1" customHeight="1" x14ac:dyDescent="0.2">
      <c r="A882" s="30"/>
      <c r="B882" s="39"/>
      <c r="C882" s="39"/>
      <c r="F882" s="48" t="s">
        <v>22</v>
      </c>
      <c r="G882" s="43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7"/>
      <c r="I882" s="84"/>
      <c r="J882" s="50" t="s">
        <v>64</v>
      </c>
      <c r="K882" s="53">
        <f>K877/8*I882</f>
        <v>0</v>
      </c>
      <c r="L882" s="54"/>
      <c r="N882" s="71"/>
      <c r="O882" s="72" t="s">
        <v>51</v>
      </c>
      <c r="P882" s="72">
        <v>21</v>
      </c>
      <c r="Q882" s="72">
        <v>9</v>
      </c>
      <c r="R882" s="72">
        <v>0</v>
      </c>
      <c r="S882" s="63"/>
      <c r="T882" s="72" t="s">
        <v>51</v>
      </c>
      <c r="U882" s="109">
        <f>IF($J$1="May","",Y881)</f>
        <v>0</v>
      </c>
      <c r="V882" s="74">
        <v>2000</v>
      </c>
      <c r="W882" s="109">
        <f t="shared" si="182"/>
        <v>2000</v>
      </c>
      <c r="X882" s="74">
        <v>2000</v>
      </c>
      <c r="Y882" s="109">
        <f t="shared" si="183"/>
        <v>0</v>
      </c>
      <c r="Z882" s="76"/>
    </row>
    <row r="883" spans="1:26" s="29" customFormat="1" ht="21.4" hidden="1" customHeight="1" x14ac:dyDescent="0.2">
      <c r="A883" s="30"/>
      <c r="B883" s="48" t="s">
        <v>7</v>
      </c>
      <c r="C883" s="39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F883" s="48" t="s">
        <v>67</v>
      </c>
      <c r="G883" s="43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7"/>
      <c r="I883" s="456" t="s">
        <v>71</v>
      </c>
      <c r="J883" s="457"/>
      <c r="K883" s="53">
        <f>K881+K882</f>
        <v>0</v>
      </c>
      <c r="L883" s="54"/>
      <c r="N883" s="71"/>
      <c r="O883" s="72" t="s">
        <v>52</v>
      </c>
      <c r="P883" s="72"/>
      <c r="Q883" s="72"/>
      <c r="R883" s="72" t="str">
        <f t="shared" ref="R883:R888" si="184">IF(Q883="","",R882-Q883)</f>
        <v/>
      </c>
      <c r="S883" s="63"/>
      <c r="T883" s="72" t="s">
        <v>52</v>
      </c>
      <c r="U883" s="109">
        <f>IF($J$1="June","",Y882)</f>
        <v>0</v>
      </c>
      <c r="V883" s="74"/>
      <c r="W883" s="109">
        <f t="shared" si="182"/>
        <v>0</v>
      </c>
      <c r="X883" s="74"/>
      <c r="Y883" s="109">
        <f t="shared" si="183"/>
        <v>0</v>
      </c>
      <c r="Z883" s="76"/>
    </row>
    <row r="884" spans="1:26" s="29" customFormat="1" ht="21.4" hidden="1" customHeight="1" x14ac:dyDescent="0.2">
      <c r="A884" s="30"/>
      <c r="B884" s="48" t="s">
        <v>6</v>
      </c>
      <c r="C884" s="39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F884" s="48" t="s">
        <v>23</v>
      </c>
      <c r="G884" s="43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7"/>
      <c r="I884" s="456" t="s">
        <v>72</v>
      </c>
      <c r="J884" s="457"/>
      <c r="K884" s="43">
        <f>G884</f>
        <v>0</v>
      </c>
      <c r="L884" s="55"/>
      <c r="N884" s="71"/>
      <c r="O884" s="72" t="s">
        <v>53</v>
      </c>
      <c r="P884" s="72"/>
      <c r="Q884" s="72"/>
      <c r="R884" s="72" t="str">
        <f t="shared" si="184"/>
        <v/>
      </c>
      <c r="S884" s="63"/>
      <c r="T884" s="72" t="s">
        <v>53</v>
      </c>
      <c r="U884" s="109">
        <f>IF($J$1="July","",Y883)</f>
        <v>0</v>
      </c>
      <c r="V884" s="74"/>
      <c r="W884" s="109">
        <f t="shared" si="182"/>
        <v>0</v>
      </c>
      <c r="X884" s="74"/>
      <c r="Y884" s="109">
        <f t="shared" si="183"/>
        <v>0</v>
      </c>
      <c r="Z884" s="76"/>
    </row>
    <row r="885" spans="1:26" s="29" customFormat="1" ht="21.4" hidden="1" customHeight="1" x14ac:dyDescent="0.2">
      <c r="A885" s="30"/>
      <c r="B885" s="56" t="s">
        <v>70</v>
      </c>
      <c r="C885" s="39" t="str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/>
      </c>
      <c r="F885" s="48" t="s">
        <v>69</v>
      </c>
      <c r="G885" s="43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I885" s="458" t="s">
        <v>65</v>
      </c>
      <c r="J885" s="459"/>
      <c r="K885" s="57">
        <f>K883-K884</f>
        <v>0</v>
      </c>
      <c r="L885" s="58"/>
      <c r="N885" s="71"/>
      <c r="O885" s="72" t="s">
        <v>58</v>
      </c>
      <c r="P885" s="72"/>
      <c r="Q885" s="72"/>
      <c r="R885" s="72" t="str">
        <f t="shared" si="184"/>
        <v/>
      </c>
      <c r="S885" s="63"/>
      <c r="T885" s="72" t="s">
        <v>58</v>
      </c>
      <c r="U885" s="109">
        <f>IF($J$1="August","",Y884)</f>
        <v>0</v>
      </c>
      <c r="V885" s="74"/>
      <c r="W885" s="109">
        <f t="shared" si="182"/>
        <v>0</v>
      </c>
      <c r="X885" s="74"/>
      <c r="Y885" s="109">
        <f t="shared" si="183"/>
        <v>0</v>
      </c>
      <c r="Z885" s="76"/>
    </row>
    <row r="886" spans="1:26" s="29" customFormat="1" ht="21.4" hidden="1" customHeight="1" x14ac:dyDescent="0.2">
      <c r="A886" s="30"/>
      <c r="K886" s="113"/>
      <c r="L886" s="46"/>
      <c r="N886" s="71"/>
      <c r="O886" s="72" t="s">
        <v>54</v>
      </c>
      <c r="P886" s="72"/>
      <c r="Q886" s="72"/>
      <c r="R886" s="72" t="str">
        <f t="shared" si="184"/>
        <v/>
      </c>
      <c r="S886" s="63"/>
      <c r="T886" s="72" t="s">
        <v>54</v>
      </c>
      <c r="U886" s="109">
        <f>IF($J$1="September","",Y885)</f>
        <v>0</v>
      </c>
      <c r="V886" s="74"/>
      <c r="W886" s="109">
        <f t="shared" si="182"/>
        <v>0</v>
      </c>
      <c r="X886" s="74"/>
      <c r="Y886" s="109">
        <f t="shared" si="183"/>
        <v>0</v>
      </c>
      <c r="Z886" s="76"/>
    </row>
    <row r="887" spans="1:26" s="29" customFormat="1" ht="21.4" hidden="1" customHeight="1" x14ac:dyDescent="0.2">
      <c r="A887" s="30"/>
      <c r="B887" s="455" t="s">
        <v>94</v>
      </c>
      <c r="C887" s="455"/>
      <c r="D887" s="455"/>
      <c r="E887" s="455"/>
      <c r="F887" s="455"/>
      <c r="G887" s="455"/>
      <c r="H887" s="455"/>
      <c r="I887" s="455"/>
      <c r="J887" s="455"/>
      <c r="K887" s="455"/>
      <c r="L887" s="46"/>
      <c r="N887" s="71"/>
      <c r="O887" s="72" t="s">
        <v>59</v>
      </c>
      <c r="P887" s="72"/>
      <c r="Q887" s="72"/>
      <c r="R887" s="72" t="str">
        <f t="shared" si="184"/>
        <v/>
      </c>
      <c r="S887" s="63"/>
      <c r="T887" s="72" t="s">
        <v>59</v>
      </c>
      <c r="U887" s="109" t="str">
        <f>IF($J$1="October","",Y886)</f>
        <v/>
      </c>
      <c r="V887" s="74"/>
      <c r="W887" s="109" t="str">
        <f t="shared" si="182"/>
        <v/>
      </c>
      <c r="X887" s="74"/>
      <c r="Y887" s="109" t="str">
        <f t="shared" si="183"/>
        <v/>
      </c>
      <c r="Z887" s="76"/>
    </row>
    <row r="888" spans="1:26" s="29" customFormat="1" ht="21.4" hidden="1" customHeight="1" x14ac:dyDescent="0.2">
      <c r="A888" s="30"/>
      <c r="B888" s="455"/>
      <c r="C888" s="455"/>
      <c r="D888" s="455"/>
      <c r="E888" s="455"/>
      <c r="F888" s="455"/>
      <c r="G888" s="455"/>
      <c r="H888" s="455"/>
      <c r="I888" s="455"/>
      <c r="J888" s="455"/>
      <c r="K888" s="455"/>
      <c r="L888" s="46"/>
      <c r="N888" s="71"/>
      <c r="O888" s="72" t="s">
        <v>60</v>
      </c>
      <c r="P888" s="72"/>
      <c r="Q888" s="72"/>
      <c r="R888" s="72" t="str">
        <f t="shared" si="184"/>
        <v/>
      </c>
      <c r="S888" s="63"/>
      <c r="T888" s="72" t="s">
        <v>60</v>
      </c>
      <c r="U888" s="109" t="str">
        <f>IF($J$1="November","",Y887)</f>
        <v/>
      </c>
      <c r="V888" s="74"/>
      <c r="W888" s="109" t="str">
        <f t="shared" si="182"/>
        <v/>
      </c>
      <c r="X888" s="74"/>
      <c r="Y888" s="109" t="str">
        <f t="shared" si="183"/>
        <v/>
      </c>
      <c r="Z888" s="76"/>
    </row>
    <row r="889" spans="1:26" s="29" customFormat="1" ht="21.4" hidden="1" customHeight="1" thickBot="1" x14ac:dyDescent="0.25">
      <c r="A889" s="5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1"/>
      <c r="N889" s="77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9"/>
    </row>
    <row r="890" spans="1:26" ht="15.75" hidden="1" thickBot="1" x14ac:dyDescent="0.3"/>
    <row r="891" spans="1:26" s="29" customFormat="1" ht="21" hidden="1" customHeight="1" x14ac:dyDescent="0.2">
      <c r="A891" s="474" t="s">
        <v>42</v>
      </c>
      <c r="B891" s="475"/>
      <c r="C891" s="475"/>
      <c r="D891" s="475"/>
      <c r="E891" s="475"/>
      <c r="F891" s="475"/>
      <c r="G891" s="475"/>
      <c r="H891" s="475"/>
      <c r="I891" s="475"/>
      <c r="J891" s="475"/>
      <c r="K891" s="475"/>
      <c r="L891" s="476"/>
      <c r="M891" s="28"/>
      <c r="N891" s="64"/>
      <c r="O891" s="469" t="s">
        <v>44</v>
      </c>
      <c r="P891" s="470"/>
      <c r="Q891" s="470"/>
      <c r="R891" s="471"/>
      <c r="S891" s="65"/>
      <c r="T891" s="469" t="s">
        <v>45</v>
      </c>
      <c r="U891" s="470"/>
      <c r="V891" s="470"/>
      <c r="W891" s="470"/>
      <c r="X891" s="470"/>
      <c r="Y891" s="471"/>
      <c r="Z891" s="66"/>
    </row>
    <row r="892" spans="1:26" s="29" customFormat="1" ht="21" hidden="1" customHeight="1" x14ac:dyDescent="0.2">
      <c r="A892" s="30"/>
      <c r="C892" s="466" t="s">
        <v>92</v>
      </c>
      <c r="D892" s="466"/>
      <c r="E892" s="466"/>
      <c r="F892" s="466"/>
      <c r="G892" s="31" t="str">
        <f>$J$1</f>
        <v>October</v>
      </c>
      <c r="H892" s="467">
        <f>$K$1</f>
        <v>2022</v>
      </c>
      <c r="I892" s="467"/>
      <c r="K892" s="32"/>
      <c r="L892" s="33"/>
      <c r="M892" s="32"/>
      <c r="N892" s="67"/>
      <c r="O892" s="68" t="s">
        <v>55</v>
      </c>
      <c r="P892" s="68" t="s">
        <v>7</v>
      </c>
      <c r="Q892" s="68" t="s">
        <v>6</v>
      </c>
      <c r="R892" s="68" t="s">
        <v>56</v>
      </c>
      <c r="S892" s="69"/>
      <c r="T892" s="68" t="s">
        <v>55</v>
      </c>
      <c r="U892" s="68" t="s">
        <v>57</v>
      </c>
      <c r="V892" s="68" t="s">
        <v>22</v>
      </c>
      <c r="W892" s="68" t="s">
        <v>21</v>
      </c>
      <c r="X892" s="68" t="s">
        <v>23</v>
      </c>
      <c r="Y892" s="68" t="s">
        <v>61</v>
      </c>
      <c r="Z892" s="70"/>
    </row>
    <row r="893" spans="1:26" s="29" customFormat="1" ht="21" hidden="1" customHeight="1" x14ac:dyDescent="0.2">
      <c r="A893" s="30"/>
      <c r="D893" s="35"/>
      <c r="E893" s="35"/>
      <c r="F893" s="35"/>
      <c r="G893" s="35"/>
      <c r="H893" s="35"/>
      <c r="J893" s="36" t="s">
        <v>1</v>
      </c>
      <c r="K893" s="37"/>
      <c r="L893" s="38"/>
      <c r="N893" s="71"/>
      <c r="O893" s="72" t="s">
        <v>47</v>
      </c>
      <c r="P893" s="72"/>
      <c r="Q893" s="72"/>
      <c r="R893" s="72">
        <v>0</v>
      </c>
      <c r="S893" s="73"/>
      <c r="T893" s="72" t="s">
        <v>47</v>
      </c>
      <c r="U893" s="74"/>
      <c r="V893" s="74"/>
      <c r="W893" s="74">
        <f>V893+U893</f>
        <v>0</v>
      </c>
      <c r="X893" s="74"/>
      <c r="Y893" s="74">
        <f>W893-X893</f>
        <v>0</v>
      </c>
      <c r="Z893" s="70"/>
    </row>
    <row r="894" spans="1:26" s="29" customFormat="1" ht="21" hidden="1" customHeight="1" x14ac:dyDescent="0.2">
      <c r="A894" s="30"/>
      <c r="B894" s="29" t="s">
        <v>0</v>
      </c>
      <c r="C894" s="40"/>
      <c r="H894" s="41"/>
      <c r="I894" s="35"/>
      <c r="L894" s="42"/>
      <c r="M894" s="28"/>
      <c r="N894" s="75"/>
      <c r="O894" s="72" t="s">
        <v>73</v>
      </c>
      <c r="P894" s="72"/>
      <c r="Q894" s="72"/>
      <c r="R894" s="72">
        <v>0</v>
      </c>
      <c r="S894" s="63"/>
      <c r="T894" s="72" t="s">
        <v>73</v>
      </c>
      <c r="U894" s="109">
        <f>IF($J$1="January","",Y893)</f>
        <v>0</v>
      </c>
      <c r="V894" s="74"/>
      <c r="W894" s="109">
        <f>IF(U894="","",U894+V894)</f>
        <v>0</v>
      </c>
      <c r="X894" s="74"/>
      <c r="Y894" s="109">
        <f>IF(W894="","",W894-X894)</f>
        <v>0</v>
      </c>
      <c r="Z894" s="76"/>
    </row>
    <row r="895" spans="1:26" s="29" customFormat="1" ht="21" hidden="1" customHeight="1" x14ac:dyDescent="0.2">
      <c r="A895" s="30"/>
      <c r="B895" s="44" t="s">
        <v>43</v>
      </c>
      <c r="C895" s="40"/>
      <c r="F895" s="468" t="s">
        <v>45</v>
      </c>
      <c r="G895" s="468"/>
      <c r="I895" s="468" t="s">
        <v>46</v>
      </c>
      <c r="J895" s="468"/>
      <c r="K895" s="468"/>
      <c r="L895" s="46"/>
      <c r="N895" s="71"/>
      <c r="O895" s="72" t="s">
        <v>48</v>
      </c>
      <c r="P895" s="72"/>
      <c r="Q895" s="72"/>
      <c r="R895" s="72">
        <v>0</v>
      </c>
      <c r="S895" s="63"/>
      <c r="T895" s="72" t="s">
        <v>48</v>
      </c>
      <c r="U895" s="109">
        <f>IF($J$1="February","",Y894)</f>
        <v>0</v>
      </c>
      <c r="V895" s="74"/>
      <c r="W895" s="109">
        <f t="shared" ref="W895:W904" si="185">IF(U895="","",U895+V895)</f>
        <v>0</v>
      </c>
      <c r="X895" s="74"/>
      <c r="Y895" s="109">
        <f t="shared" ref="Y895:Y904" si="186">IF(W895="","",W895-X895)</f>
        <v>0</v>
      </c>
      <c r="Z895" s="76"/>
    </row>
    <row r="896" spans="1:26" s="29" customFormat="1" ht="21" hidden="1" customHeight="1" x14ac:dyDescent="0.2">
      <c r="A896" s="30"/>
      <c r="H896" s="47"/>
      <c r="L896" s="34"/>
      <c r="N896" s="71"/>
      <c r="O896" s="72" t="s">
        <v>49</v>
      </c>
      <c r="P896" s="72"/>
      <c r="Q896" s="72"/>
      <c r="R896" s="72">
        <v>0</v>
      </c>
      <c r="S896" s="63"/>
      <c r="T896" s="72" t="s">
        <v>49</v>
      </c>
      <c r="U896" s="109">
        <f>IF($J$1="March","",Y895)</f>
        <v>0</v>
      </c>
      <c r="V896" s="74"/>
      <c r="W896" s="109">
        <f t="shared" si="185"/>
        <v>0</v>
      </c>
      <c r="X896" s="74"/>
      <c r="Y896" s="109">
        <f t="shared" si="186"/>
        <v>0</v>
      </c>
      <c r="Z896" s="76"/>
    </row>
    <row r="897" spans="1:27" s="29" customFormat="1" ht="21" hidden="1" customHeight="1" x14ac:dyDescent="0.2">
      <c r="A897" s="30"/>
      <c r="B897" s="472" t="s">
        <v>44</v>
      </c>
      <c r="C897" s="473"/>
      <c r="F897" s="48" t="s">
        <v>66</v>
      </c>
      <c r="G897" s="43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7"/>
      <c r="I897" s="168"/>
      <c r="J897" s="50" t="s">
        <v>63</v>
      </c>
      <c r="K897" s="51">
        <f>K893/$K$2*I897</f>
        <v>0</v>
      </c>
      <c r="L897" s="52"/>
      <c r="N897" s="71"/>
      <c r="O897" s="72" t="s">
        <v>50</v>
      </c>
      <c r="P897" s="72"/>
      <c r="Q897" s="72"/>
      <c r="R897" s="72">
        <v>0</v>
      </c>
      <c r="S897" s="63"/>
      <c r="T897" s="72" t="s">
        <v>50</v>
      </c>
      <c r="U897" s="109">
        <f>IF($J$1="April","",Y896)</f>
        <v>0</v>
      </c>
      <c r="V897" s="74"/>
      <c r="W897" s="109">
        <f t="shared" si="185"/>
        <v>0</v>
      </c>
      <c r="X897" s="74"/>
      <c r="Y897" s="109">
        <f t="shared" si="186"/>
        <v>0</v>
      </c>
      <c r="Z897" s="76"/>
    </row>
    <row r="898" spans="1:27" s="29" customFormat="1" ht="21" hidden="1" customHeight="1" x14ac:dyDescent="0.2">
      <c r="A898" s="30"/>
      <c r="B898" s="39"/>
      <c r="C898" s="39"/>
      <c r="F898" s="48" t="s">
        <v>22</v>
      </c>
      <c r="G898" s="43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7"/>
      <c r="I898" s="84"/>
      <c r="J898" s="50" t="s">
        <v>64</v>
      </c>
      <c r="K898" s="53">
        <f>K893/$K$2/8*I898</f>
        <v>0</v>
      </c>
      <c r="L898" s="54"/>
      <c r="N898" s="71"/>
      <c r="O898" s="72" t="s">
        <v>51</v>
      </c>
      <c r="P898" s="72"/>
      <c r="Q898" s="72"/>
      <c r="R898" s="72">
        <v>0</v>
      </c>
      <c r="S898" s="63"/>
      <c r="T898" s="72" t="s">
        <v>51</v>
      </c>
      <c r="U898" s="109">
        <f>IF($J$1="May","",Y897)</f>
        <v>0</v>
      </c>
      <c r="V898" s="74"/>
      <c r="W898" s="109">
        <f t="shared" si="185"/>
        <v>0</v>
      </c>
      <c r="X898" s="74"/>
      <c r="Y898" s="109">
        <f t="shared" si="186"/>
        <v>0</v>
      </c>
      <c r="Z898" s="76"/>
    </row>
    <row r="899" spans="1:27" s="29" customFormat="1" ht="21" hidden="1" customHeight="1" x14ac:dyDescent="0.2">
      <c r="A899" s="30"/>
      <c r="B899" s="48" t="s">
        <v>7</v>
      </c>
      <c r="C899" s="39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0</v>
      </c>
      <c r="F899" s="48" t="s">
        <v>67</v>
      </c>
      <c r="G899" s="43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0</v>
      </c>
      <c r="H899" s="47"/>
      <c r="I899" s="456" t="s">
        <v>71</v>
      </c>
      <c r="J899" s="457"/>
      <c r="K899" s="53">
        <f>K897+K898</f>
        <v>0</v>
      </c>
      <c r="L899" s="54"/>
      <c r="N899" s="71"/>
      <c r="O899" s="72" t="s">
        <v>52</v>
      </c>
      <c r="P899" s="72"/>
      <c r="Q899" s="72"/>
      <c r="R899" s="72">
        <v>0</v>
      </c>
      <c r="S899" s="63"/>
      <c r="T899" s="72" t="s">
        <v>52</v>
      </c>
      <c r="U899" s="109">
        <f>IF($J$1="June","",Y898)</f>
        <v>0</v>
      </c>
      <c r="V899" s="74"/>
      <c r="W899" s="109">
        <f t="shared" si="185"/>
        <v>0</v>
      </c>
      <c r="X899" s="74"/>
      <c r="Y899" s="109">
        <f t="shared" si="186"/>
        <v>0</v>
      </c>
      <c r="Z899" s="76"/>
    </row>
    <row r="900" spans="1:27" s="29" customFormat="1" ht="21" hidden="1" customHeight="1" x14ac:dyDescent="0.2">
      <c r="A900" s="30"/>
      <c r="B900" s="48" t="s">
        <v>6</v>
      </c>
      <c r="C900" s="39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0</v>
      </c>
      <c r="F900" s="48" t="s">
        <v>23</v>
      </c>
      <c r="G900" s="43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7"/>
      <c r="I900" s="456" t="s">
        <v>72</v>
      </c>
      <c r="J900" s="457"/>
      <c r="K900" s="43">
        <f>G900</f>
        <v>0</v>
      </c>
      <c r="L900" s="55"/>
      <c r="N900" s="71"/>
      <c r="O900" s="72" t="s">
        <v>53</v>
      </c>
      <c r="P900" s="72"/>
      <c r="Q900" s="72"/>
      <c r="R900" s="72">
        <v>0</v>
      </c>
      <c r="S900" s="63"/>
      <c r="T900" s="72" t="s">
        <v>53</v>
      </c>
      <c r="U900" s="109">
        <f>IF($J$1="July","",Y899)</f>
        <v>0</v>
      </c>
      <c r="V900" s="74"/>
      <c r="W900" s="109">
        <f t="shared" si="185"/>
        <v>0</v>
      </c>
      <c r="X900" s="74"/>
      <c r="Y900" s="109">
        <f t="shared" si="186"/>
        <v>0</v>
      </c>
      <c r="Z900" s="76"/>
    </row>
    <row r="901" spans="1:27" s="29" customFormat="1" ht="21" hidden="1" customHeight="1" x14ac:dyDescent="0.2">
      <c r="A901" s="30"/>
      <c r="B901" s="56" t="s">
        <v>70</v>
      </c>
      <c r="C901" s="39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0</v>
      </c>
      <c r="F901" s="48" t="s">
        <v>69</v>
      </c>
      <c r="G901" s="43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I901" s="458" t="s">
        <v>65</v>
      </c>
      <c r="J901" s="459"/>
      <c r="K901" s="57">
        <f>K899-K900</f>
        <v>0</v>
      </c>
      <c r="L901" s="58"/>
      <c r="N901" s="71"/>
      <c r="O901" s="72" t="s">
        <v>58</v>
      </c>
      <c r="P901" s="72"/>
      <c r="Q901" s="72"/>
      <c r="R901" s="72" t="str">
        <f>IF(Q901="","",R900-Q901)</f>
        <v/>
      </c>
      <c r="S901" s="63"/>
      <c r="T901" s="72" t="s">
        <v>58</v>
      </c>
      <c r="U901" s="109">
        <f>IF($J$1="August","",Y900)</f>
        <v>0</v>
      </c>
      <c r="V901" s="74"/>
      <c r="W901" s="109">
        <f t="shared" si="185"/>
        <v>0</v>
      </c>
      <c r="X901" s="74"/>
      <c r="Y901" s="109">
        <f t="shared" si="186"/>
        <v>0</v>
      </c>
      <c r="Z901" s="76"/>
    </row>
    <row r="902" spans="1:27" s="29" customFormat="1" ht="21" hidden="1" customHeight="1" x14ac:dyDescent="0.2">
      <c r="A902" s="30"/>
      <c r="K902" s="113"/>
      <c r="L902" s="46"/>
      <c r="N902" s="71"/>
      <c r="O902" s="72" t="s">
        <v>54</v>
      </c>
      <c r="P902" s="72"/>
      <c r="Q902" s="72"/>
      <c r="R902" s="72">
        <v>0</v>
      </c>
      <c r="S902" s="63"/>
      <c r="T902" s="72" t="s">
        <v>54</v>
      </c>
      <c r="U902" s="109">
        <f>IF($J$1="September","",Y901)</f>
        <v>0</v>
      </c>
      <c r="V902" s="74"/>
      <c r="W902" s="109">
        <f t="shared" si="185"/>
        <v>0</v>
      </c>
      <c r="X902" s="74"/>
      <c r="Y902" s="109">
        <f t="shared" si="186"/>
        <v>0</v>
      </c>
      <c r="Z902" s="76"/>
    </row>
    <row r="903" spans="1:27" s="29" customFormat="1" ht="21" hidden="1" customHeight="1" x14ac:dyDescent="0.2">
      <c r="A903" s="30"/>
      <c r="B903" s="455" t="s">
        <v>94</v>
      </c>
      <c r="C903" s="455"/>
      <c r="D903" s="455"/>
      <c r="E903" s="455"/>
      <c r="F903" s="455"/>
      <c r="G903" s="455"/>
      <c r="H903" s="455"/>
      <c r="I903" s="455"/>
      <c r="J903" s="455"/>
      <c r="K903" s="455"/>
      <c r="L903" s="46"/>
      <c r="N903" s="71"/>
      <c r="O903" s="72" t="s">
        <v>59</v>
      </c>
      <c r="P903" s="72"/>
      <c r="Q903" s="72"/>
      <c r="R903" s="72">
        <v>0</v>
      </c>
      <c r="S903" s="63"/>
      <c r="T903" s="72" t="s">
        <v>59</v>
      </c>
      <c r="U903" s="109" t="str">
        <f>IF($J$1="October","",Y902)</f>
        <v/>
      </c>
      <c r="V903" s="74"/>
      <c r="W903" s="109" t="str">
        <f t="shared" si="185"/>
        <v/>
      </c>
      <c r="X903" s="74"/>
      <c r="Y903" s="109" t="str">
        <f t="shared" si="186"/>
        <v/>
      </c>
      <c r="Z903" s="76"/>
    </row>
    <row r="904" spans="1:27" s="29" customFormat="1" ht="21" hidden="1" customHeight="1" x14ac:dyDescent="0.2">
      <c r="A904" s="30"/>
      <c r="B904" s="455"/>
      <c r="C904" s="455"/>
      <c r="D904" s="455"/>
      <c r="E904" s="455"/>
      <c r="F904" s="455"/>
      <c r="G904" s="455"/>
      <c r="H904" s="455"/>
      <c r="I904" s="455"/>
      <c r="J904" s="455"/>
      <c r="K904" s="455"/>
      <c r="L904" s="46"/>
      <c r="N904" s="71"/>
      <c r="O904" s="72" t="s">
        <v>60</v>
      </c>
      <c r="P904" s="72"/>
      <c r="Q904" s="72"/>
      <c r="R904" s="72">
        <v>0</v>
      </c>
      <c r="S904" s="63"/>
      <c r="T904" s="72" t="s">
        <v>60</v>
      </c>
      <c r="U904" s="109" t="str">
        <f>IF($J$1="November","",Y903)</f>
        <v/>
      </c>
      <c r="V904" s="74"/>
      <c r="W904" s="109" t="str">
        <f t="shared" si="185"/>
        <v/>
      </c>
      <c r="X904" s="74"/>
      <c r="Y904" s="109" t="str">
        <f t="shared" si="186"/>
        <v/>
      </c>
      <c r="Z904" s="76"/>
    </row>
    <row r="905" spans="1:27" s="29" customFormat="1" ht="21" hidden="1" customHeight="1" thickBot="1" x14ac:dyDescent="0.25">
      <c r="A905" s="5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1"/>
      <c r="N905" s="77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9"/>
    </row>
    <row r="906" spans="1:27" ht="15.75" hidden="1" thickBot="1" x14ac:dyDescent="0.3"/>
    <row r="907" spans="1:27" s="29" customFormat="1" ht="21" customHeight="1" x14ac:dyDescent="0.2">
      <c r="A907" s="463" t="s">
        <v>42</v>
      </c>
      <c r="B907" s="464"/>
      <c r="C907" s="464"/>
      <c r="D907" s="464"/>
      <c r="E907" s="464"/>
      <c r="F907" s="464"/>
      <c r="G907" s="464"/>
      <c r="H907" s="464"/>
      <c r="I907" s="464"/>
      <c r="J907" s="464"/>
      <c r="K907" s="464"/>
      <c r="L907" s="465"/>
      <c r="M907" s="28"/>
      <c r="N907" s="64"/>
      <c r="O907" s="469" t="s">
        <v>44</v>
      </c>
      <c r="P907" s="470"/>
      <c r="Q907" s="470"/>
      <c r="R907" s="471"/>
      <c r="S907" s="65"/>
      <c r="T907" s="469" t="s">
        <v>45</v>
      </c>
      <c r="U907" s="470"/>
      <c r="V907" s="470"/>
      <c r="W907" s="470"/>
      <c r="X907" s="470"/>
      <c r="Y907" s="471"/>
      <c r="Z907" s="66"/>
      <c r="AA907" s="28"/>
    </row>
    <row r="908" spans="1:27" s="29" customFormat="1" ht="21" customHeight="1" x14ac:dyDescent="0.2">
      <c r="A908" s="30"/>
      <c r="C908" s="466" t="s">
        <v>92</v>
      </c>
      <c r="D908" s="466"/>
      <c r="E908" s="466"/>
      <c r="F908" s="466"/>
      <c r="G908" s="31" t="str">
        <f>$J$1</f>
        <v>October</v>
      </c>
      <c r="H908" s="467">
        <f>$K$1</f>
        <v>2022</v>
      </c>
      <c r="I908" s="467"/>
      <c r="K908" s="32"/>
      <c r="L908" s="33"/>
      <c r="M908" s="32"/>
      <c r="N908" s="67"/>
      <c r="O908" s="68" t="s">
        <v>55</v>
      </c>
      <c r="P908" s="68" t="s">
        <v>7</v>
      </c>
      <c r="Q908" s="68" t="s">
        <v>6</v>
      </c>
      <c r="R908" s="68" t="s">
        <v>56</v>
      </c>
      <c r="S908" s="69"/>
      <c r="T908" s="68" t="s">
        <v>55</v>
      </c>
      <c r="U908" s="68" t="s">
        <v>57</v>
      </c>
      <c r="V908" s="68" t="s">
        <v>22</v>
      </c>
      <c r="W908" s="68" t="s">
        <v>21</v>
      </c>
      <c r="X908" s="68" t="s">
        <v>23</v>
      </c>
      <c r="Y908" s="68" t="s">
        <v>61</v>
      </c>
      <c r="Z908" s="70"/>
      <c r="AA908" s="32"/>
    </row>
    <row r="909" spans="1:27" s="29" customFormat="1" ht="21" customHeight="1" x14ac:dyDescent="0.2">
      <c r="A909" s="30"/>
      <c r="D909" s="35"/>
      <c r="E909" s="35"/>
      <c r="F909" s="35"/>
      <c r="G909" s="35"/>
      <c r="H909" s="35"/>
      <c r="J909" s="36" t="s">
        <v>1</v>
      </c>
      <c r="K909" s="37">
        <f>45000+2000</f>
        <v>47000</v>
      </c>
      <c r="L909" s="38"/>
      <c r="N909" s="71"/>
      <c r="O909" s="72" t="s">
        <v>47</v>
      </c>
      <c r="P909" s="72">
        <v>31</v>
      </c>
      <c r="Q909" s="72">
        <v>0</v>
      </c>
      <c r="R909" s="72">
        <f>15-Q909</f>
        <v>15</v>
      </c>
      <c r="S909" s="73"/>
      <c r="T909" s="72" t="s">
        <v>47</v>
      </c>
      <c r="U909" s="74">
        <v>7500</v>
      </c>
      <c r="V909" s="74"/>
      <c r="W909" s="74">
        <f>V909+U909</f>
        <v>7500</v>
      </c>
      <c r="X909" s="74">
        <v>2500</v>
      </c>
      <c r="Y909" s="74">
        <f>W909-X909</f>
        <v>5000</v>
      </c>
      <c r="Z909" s="70"/>
    </row>
    <row r="910" spans="1:27" s="29" customFormat="1" ht="21" customHeight="1" x14ac:dyDescent="0.2">
      <c r="A910" s="30"/>
      <c r="B910" s="29" t="s">
        <v>0</v>
      </c>
      <c r="C910" s="40" t="s">
        <v>213</v>
      </c>
      <c r="H910" s="41"/>
      <c r="I910" s="35"/>
      <c r="L910" s="42"/>
      <c r="M910" s="28"/>
      <c r="N910" s="75"/>
      <c r="O910" s="72" t="s">
        <v>73</v>
      </c>
      <c r="P910" s="72">
        <v>27</v>
      </c>
      <c r="Q910" s="72">
        <v>1</v>
      </c>
      <c r="R910" s="72">
        <f t="shared" ref="R910:R920" si="187">IF(Q910="","",R909-Q910)</f>
        <v>14</v>
      </c>
      <c r="S910" s="63"/>
      <c r="T910" s="72" t="s">
        <v>73</v>
      </c>
      <c r="U910" s="109">
        <f>IF($J$1="January","",Y909)</f>
        <v>5000</v>
      </c>
      <c r="V910" s="74"/>
      <c r="W910" s="109">
        <f>IF(U910="","",U910+V910)</f>
        <v>5000</v>
      </c>
      <c r="X910" s="74">
        <v>2500</v>
      </c>
      <c r="Y910" s="109">
        <f>IF(W910="","",W910-X910)</f>
        <v>2500</v>
      </c>
      <c r="Z910" s="76"/>
      <c r="AA910" s="28"/>
    </row>
    <row r="911" spans="1:27" s="29" customFormat="1" ht="21" customHeight="1" x14ac:dyDescent="0.2">
      <c r="A911" s="30"/>
      <c r="B911" s="44" t="s">
        <v>43</v>
      </c>
      <c r="C911" s="45"/>
      <c r="F911" s="468" t="s">
        <v>45</v>
      </c>
      <c r="G911" s="468"/>
      <c r="I911" s="468" t="s">
        <v>46</v>
      </c>
      <c r="J911" s="468"/>
      <c r="K911" s="468"/>
      <c r="L911" s="46"/>
      <c r="N911" s="71"/>
      <c r="O911" s="72" t="s">
        <v>48</v>
      </c>
      <c r="P911" s="72">
        <v>27</v>
      </c>
      <c r="Q911" s="72">
        <v>4</v>
      </c>
      <c r="R911" s="72">
        <f t="shared" si="187"/>
        <v>10</v>
      </c>
      <c r="S911" s="63"/>
      <c r="T911" s="72" t="s">
        <v>48</v>
      </c>
      <c r="U911" s="109">
        <f>IF($J$1="February","",Y910)</f>
        <v>2500</v>
      </c>
      <c r="V911" s="74"/>
      <c r="W911" s="109">
        <f t="shared" ref="W911:W920" si="188">IF(U911="","",U911+V911)</f>
        <v>2500</v>
      </c>
      <c r="X911" s="74">
        <v>2500</v>
      </c>
      <c r="Y911" s="109">
        <f t="shared" ref="Y911:Y920" si="189">IF(W911="","",W911-X911)</f>
        <v>0</v>
      </c>
      <c r="Z911" s="76"/>
    </row>
    <row r="912" spans="1:27" s="29" customFormat="1" ht="21" customHeight="1" x14ac:dyDescent="0.2">
      <c r="A912" s="30"/>
      <c r="H912" s="47"/>
      <c r="L912" s="34"/>
      <c r="N912" s="71"/>
      <c r="O912" s="72" t="s">
        <v>49</v>
      </c>
      <c r="P912" s="72">
        <v>29</v>
      </c>
      <c r="Q912" s="72">
        <v>1</v>
      </c>
      <c r="R912" s="72">
        <f t="shared" si="187"/>
        <v>9</v>
      </c>
      <c r="S912" s="63"/>
      <c r="T912" s="72" t="s">
        <v>49</v>
      </c>
      <c r="U912" s="109">
        <f>Y911</f>
        <v>0</v>
      </c>
      <c r="V912" s="74"/>
      <c r="W912" s="109">
        <f t="shared" si="188"/>
        <v>0</v>
      </c>
      <c r="X912" s="74"/>
      <c r="Y912" s="109">
        <f t="shared" si="189"/>
        <v>0</v>
      </c>
      <c r="Z912" s="76"/>
    </row>
    <row r="913" spans="1:26" s="29" customFormat="1" ht="21" customHeight="1" x14ac:dyDescent="0.2">
      <c r="A913" s="30"/>
      <c r="B913" s="472" t="s">
        <v>44</v>
      </c>
      <c r="C913" s="473"/>
      <c r="F913" s="48" t="s">
        <v>66</v>
      </c>
      <c r="G913" s="43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9000</v>
      </c>
      <c r="H913" s="47"/>
      <c r="I913" s="49">
        <f>IF(C917&gt;0,$K$2,C915)</f>
        <v>31</v>
      </c>
      <c r="J913" s="50" t="s">
        <v>63</v>
      </c>
      <c r="K913" s="51">
        <f>K909/$K$2*I913</f>
        <v>47000</v>
      </c>
      <c r="L913" s="52"/>
      <c r="N913" s="71"/>
      <c r="O913" s="72" t="s">
        <v>50</v>
      </c>
      <c r="P913" s="72">
        <v>31</v>
      </c>
      <c r="Q913" s="72">
        <v>0</v>
      </c>
      <c r="R913" s="72">
        <f t="shared" si="187"/>
        <v>9</v>
      </c>
      <c r="S913" s="63"/>
      <c r="T913" s="72" t="s">
        <v>50</v>
      </c>
      <c r="U913" s="109">
        <f>Y912</f>
        <v>0</v>
      </c>
      <c r="V913" s="74"/>
      <c r="W913" s="109">
        <f t="shared" si="188"/>
        <v>0</v>
      </c>
      <c r="X913" s="74"/>
      <c r="Y913" s="109">
        <f t="shared" si="189"/>
        <v>0</v>
      </c>
      <c r="Z913" s="76"/>
    </row>
    <row r="914" spans="1:26" s="29" customFormat="1" ht="21" customHeight="1" x14ac:dyDescent="0.2">
      <c r="A914" s="30"/>
      <c r="B914" s="39"/>
      <c r="C914" s="39"/>
      <c r="F914" s="48" t="s">
        <v>22</v>
      </c>
      <c r="G914" s="43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4000</v>
      </c>
      <c r="H914" s="47"/>
      <c r="I914" s="84">
        <v>6</v>
      </c>
      <c r="J914" s="50" t="s">
        <v>64</v>
      </c>
      <c r="K914" s="53">
        <f>K909/$K$2/8*I914</f>
        <v>1137.0967741935485</v>
      </c>
      <c r="L914" s="54"/>
      <c r="N914" s="71"/>
      <c r="O914" s="72" t="s">
        <v>51</v>
      </c>
      <c r="P914" s="72">
        <v>26</v>
      </c>
      <c r="Q914" s="72">
        <v>4</v>
      </c>
      <c r="R914" s="72">
        <f t="shared" si="187"/>
        <v>5</v>
      </c>
      <c r="S914" s="63"/>
      <c r="T914" s="72" t="s">
        <v>51</v>
      </c>
      <c r="U914" s="109">
        <f>IF($J$1="May","",Y913)</f>
        <v>0</v>
      </c>
      <c r="V914" s="74">
        <v>15000</v>
      </c>
      <c r="W914" s="109">
        <f t="shared" si="188"/>
        <v>15000</v>
      </c>
      <c r="X914" s="74">
        <v>3000</v>
      </c>
      <c r="Y914" s="109">
        <f t="shared" si="189"/>
        <v>12000</v>
      </c>
      <c r="Z914" s="76"/>
    </row>
    <row r="915" spans="1:26" s="29" customFormat="1" ht="21" customHeight="1" x14ac:dyDescent="0.2">
      <c r="A915" s="30"/>
      <c r="B915" s="48" t="s">
        <v>7</v>
      </c>
      <c r="C915" s="39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30</v>
      </c>
      <c r="F915" s="48" t="s">
        <v>67</v>
      </c>
      <c r="G915" s="43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13000</v>
      </c>
      <c r="H915" s="47"/>
      <c r="I915" s="456" t="s">
        <v>71</v>
      </c>
      <c r="J915" s="457"/>
      <c r="K915" s="53">
        <f>K913+K914</f>
        <v>48137.096774193546</v>
      </c>
      <c r="L915" s="54"/>
      <c r="N915" s="71"/>
      <c r="O915" s="72" t="s">
        <v>52</v>
      </c>
      <c r="P915" s="72">
        <v>31</v>
      </c>
      <c r="Q915" s="72">
        <v>0</v>
      </c>
      <c r="R915" s="72">
        <f t="shared" si="187"/>
        <v>5</v>
      </c>
      <c r="S915" s="63"/>
      <c r="T915" s="72" t="s">
        <v>52</v>
      </c>
      <c r="U915" s="109">
        <f>IF($J$1="June","",Y914)</f>
        <v>12000</v>
      </c>
      <c r="V915" s="74"/>
      <c r="W915" s="109">
        <f t="shared" si="188"/>
        <v>12000</v>
      </c>
      <c r="X915" s="74">
        <v>3000</v>
      </c>
      <c r="Y915" s="109">
        <f t="shared" si="189"/>
        <v>9000</v>
      </c>
      <c r="Z915" s="76"/>
    </row>
    <row r="916" spans="1:26" s="29" customFormat="1" ht="21" customHeight="1" x14ac:dyDescent="0.2">
      <c r="A916" s="30"/>
      <c r="B916" s="48" t="s">
        <v>6</v>
      </c>
      <c r="C916" s="39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1</v>
      </c>
      <c r="F916" s="48" t="s">
        <v>23</v>
      </c>
      <c r="G916" s="43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2500</v>
      </c>
      <c r="H916" s="47"/>
      <c r="I916" s="456" t="s">
        <v>72</v>
      </c>
      <c r="J916" s="457"/>
      <c r="K916" s="43">
        <f>G916</f>
        <v>2500</v>
      </c>
      <c r="L916" s="55"/>
      <c r="N916" s="71"/>
      <c r="O916" s="72" t="s">
        <v>53</v>
      </c>
      <c r="P916" s="72">
        <v>31</v>
      </c>
      <c r="Q916" s="72">
        <v>0</v>
      </c>
      <c r="R916" s="72">
        <f t="shared" si="187"/>
        <v>5</v>
      </c>
      <c r="S916" s="63"/>
      <c r="T916" s="72" t="s">
        <v>53</v>
      </c>
      <c r="U916" s="109">
        <f>IF($J$1="July","",Y915)</f>
        <v>9000</v>
      </c>
      <c r="V916" s="74">
        <v>2500</v>
      </c>
      <c r="W916" s="109">
        <f t="shared" si="188"/>
        <v>11500</v>
      </c>
      <c r="X916" s="74">
        <v>2500</v>
      </c>
      <c r="Y916" s="109">
        <f t="shared" si="189"/>
        <v>9000</v>
      </c>
      <c r="Z916" s="76"/>
    </row>
    <row r="917" spans="1:26" s="29" customFormat="1" ht="21" customHeight="1" x14ac:dyDescent="0.2">
      <c r="A917" s="30"/>
      <c r="B917" s="56" t="s">
        <v>70</v>
      </c>
      <c r="C917" s="39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2</v>
      </c>
      <c r="F917" s="48" t="s">
        <v>69</v>
      </c>
      <c r="G917" s="43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10500</v>
      </c>
      <c r="I917" s="458" t="s">
        <v>65</v>
      </c>
      <c r="J917" s="459"/>
      <c r="K917" s="57">
        <f>K915-K916</f>
        <v>45637.096774193546</v>
      </c>
      <c r="L917" s="58"/>
      <c r="N917" s="71"/>
      <c r="O917" s="72" t="s">
        <v>58</v>
      </c>
      <c r="P917" s="72">
        <v>28</v>
      </c>
      <c r="Q917" s="72">
        <v>2</v>
      </c>
      <c r="R917" s="72">
        <f t="shared" si="187"/>
        <v>3</v>
      </c>
      <c r="S917" s="63"/>
      <c r="T917" s="72" t="s">
        <v>58</v>
      </c>
      <c r="U917" s="109">
        <f>IF($J$1="August","",Y916)</f>
        <v>9000</v>
      </c>
      <c r="V917" s="74"/>
      <c r="W917" s="109">
        <f t="shared" si="188"/>
        <v>9000</v>
      </c>
      <c r="X917" s="74"/>
      <c r="Y917" s="109">
        <f t="shared" si="189"/>
        <v>9000</v>
      </c>
      <c r="Z917" s="76"/>
    </row>
    <row r="918" spans="1:26" s="29" customFormat="1" ht="21" customHeight="1" x14ac:dyDescent="0.2">
      <c r="A918" s="30"/>
      <c r="J918" s="47"/>
      <c r="K918" s="113"/>
      <c r="L918" s="46"/>
      <c r="N918" s="71"/>
      <c r="O918" s="72" t="s">
        <v>54</v>
      </c>
      <c r="P918" s="72">
        <v>30</v>
      </c>
      <c r="Q918" s="72">
        <v>1</v>
      </c>
      <c r="R918" s="72">
        <f t="shared" si="187"/>
        <v>2</v>
      </c>
      <c r="S918" s="63"/>
      <c r="T918" s="72" t="s">
        <v>54</v>
      </c>
      <c r="U918" s="109">
        <f>IF($J$1="September","",Y917)</f>
        <v>9000</v>
      </c>
      <c r="V918" s="74">
        <v>4000</v>
      </c>
      <c r="W918" s="109">
        <f t="shared" si="188"/>
        <v>13000</v>
      </c>
      <c r="X918" s="74">
        <v>2500</v>
      </c>
      <c r="Y918" s="109">
        <f t="shared" si="189"/>
        <v>10500</v>
      </c>
      <c r="Z918" s="76"/>
    </row>
    <row r="919" spans="1:26" s="29" customFormat="1" ht="21" customHeight="1" x14ac:dyDescent="0.2">
      <c r="A919" s="30"/>
      <c r="B919" s="455" t="s">
        <v>94</v>
      </c>
      <c r="C919" s="455"/>
      <c r="D919" s="455"/>
      <c r="E919" s="455"/>
      <c r="F919" s="455"/>
      <c r="G919" s="455"/>
      <c r="H919" s="455"/>
      <c r="I919" s="455"/>
      <c r="J919" s="455"/>
      <c r="K919" s="455"/>
      <c r="L919" s="46"/>
      <c r="N919" s="71"/>
      <c r="O919" s="72" t="s">
        <v>59</v>
      </c>
      <c r="P919" s="72"/>
      <c r="Q919" s="72"/>
      <c r="R919" s="72" t="str">
        <f t="shared" si="187"/>
        <v/>
      </c>
      <c r="S919" s="63"/>
      <c r="T919" s="72" t="s">
        <v>59</v>
      </c>
      <c r="U919" s="109" t="str">
        <f>IF($J$1="October","",Y918)</f>
        <v/>
      </c>
      <c r="V919" s="74"/>
      <c r="W919" s="109" t="str">
        <f t="shared" si="188"/>
        <v/>
      </c>
      <c r="X919" s="74"/>
      <c r="Y919" s="109" t="str">
        <f t="shared" si="189"/>
        <v/>
      </c>
      <c r="Z919" s="76"/>
    </row>
    <row r="920" spans="1:26" s="29" customFormat="1" ht="21" customHeight="1" x14ac:dyDescent="0.2">
      <c r="A920" s="30"/>
      <c r="B920" s="455"/>
      <c r="C920" s="455"/>
      <c r="D920" s="455"/>
      <c r="E920" s="455"/>
      <c r="F920" s="455"/>
      <c r="G920" s="455"/>
      <c r="H920" s="455"/>
      <c r="I920" s="455"/>
      <c r="J920" s="455"/>
      <c r="K920" s="455"/>
      <c r="L920" s="46"/>
      <c r="N920" s="71"/>
      <c r="O920" s="72" t="s">
        <v>60</v>
      </c>
      <c r="P920" s="72"/>
      <c r="Q920" s="72"/>
      <c r="R920" s="72" t="str">
        <f t="shared" si="187"/>
        <v/>
      </c>
      <c r="S920" s="63"/>
      <c r="T920" s="72" t="s">
        <v>60</v>
      </c>
      <c r="U920" s="109" t="str">
        <f>IF($J$1="November","",Y919)</f>
        <v/>
      </c>
      <c r="V920" s="74"/>
      <c r="W920" s="109" t="str">
        <f t="shared" si="188"/>
        <v/>
      </c>
      <c r="X920" s="74"/>
      <c r="Y920" s="109" t="str">
        <f t="shared" si="189"/>
        <v/>
      </c>
      <c r="Z920" s="76"/>
    </row>
    <row r="921" spans="1:26" s="29" customFormat="1" ht="21" customHeight="1" thickBot="1" x14ac:dyDescent="0.25">
      <c r="A921" s="5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1"/>
      <c r="N921" s="77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9"/>
    </row>
    <row r="922" spans="1:26" s="29" customFormat="1" ht="21" customHeight="1" thickBot="1" x14ac:dyDescent="0.25"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s="29" customFormat="1" ht="21" hidden="1" customHeight="1" x14ac:dyDescent="0.2">
      <c r="A923" s="460" t="s">
        <v>42</v>
      </c>
      <c r="B923" s="461"/>
      <c r="C923" s="461"/>
      <c r="D923" s="461"/>
      <c r="E923" s="461"/>
      <c r="F923" s="461"/>
      <c r="G923" s="461"/>
      <c r="H923" s="461"/>
      <c r="I923" s="461"/>
      <c r="J923" s="461"/>
      <c r="K923" s="461"/>
      <c r="L923" s="462"/>
      <c r="M923" s="28"/>
      <c r="N923" s="64"/>
      <c r="O923" s="469" t="s">
        <v>44</v>
      </c>
      <c r="P923" s="470"/>
      <c r="Q923" s="470"/>
      <c r="R923" s="471"/>
      <c r="S923" s="65"/>
      <c r="T923" s="469" t="s">
        <v>45</v>
      </c>
      <c r="U923" s="470"/>
      <c r="V923" s="470"/>
      <c r="W923" s="470"/>
      <c r="X923" s="470"/>
      <c r="Y923" s="471"/>
      <c r="Z923" s="66"/>
    </row>
    <row r="924" spans="1:26" s="29" customFormat="1" ht="21" hidden="1" customHeight="1" x14ac:dyDescent="0.2">
      <c r="A924" s="30"/>
      <c r="C924" s="466" t="s">
        <v>92</v>
      </c>
      <c r="D924" s="466"/>
      <c r="E924" s="466"/>
      <c r="F924" s="466"/>
      <c r="G924" s="31" t="str">
        <f>$J$1</f>
        <v>October</v>
      </c>
      <c r="H924" s="467">
        <f>$K$1</f>
        <v>2022</v>
      </c>
      <c r="I924" s="467"/>
      <c r="K924" s="32"/>
      <c r="L924" s="33"/>
      <c r="M924" s="32"/>
      <c r="N924" s="67"/>
      <c r="O924" s="68" t="s">
        <v>55</v>
      </c>
      <c r="P924" s="68" t="s">
        <v>7</v>
      </c>
      <c r="Q924" s="68" t="s">
        <v>6</v>
      </c>
      <c r="R924" s="68" t="s">
        <v>56</v>
      </c>
      <c r="S924" s="69"/>
      <c r="T924" s="68" t="s">
        <v>55</v>
      </c>
      <c r="U924" s="68" t="s">
        <v>57</v>
      </c>
      <c r="V924" s="68" t="s">
        <v>22</v>
      </c>
      <c r="W924" s="68" t="s">
        <v>21</v>
      </c>
      <c r="X924" s="68" t="s">
        <v>23</v>
      </c>
      <c r="Y924" s="68" t="s">
        <v>61</v>
      </c>
      <c r="Z924" s="70"/>
    </row>
    <row r="925" spans="1:26" s="29" customFormat="1" ht="21" hidden="1" customHeight="1" x14ac:dyDescent="0.2">
      <c r="A925" s="30"/>
      <c r="D925" s="35"/>
      <c r="E925" s="35"/>
      <c r="F925" s="35"/>
      <c r="G925" s="35"/>
      <c r="H925" s="35"/>
      <c r="J925" s="36" t="s">
        <v>1</v>
      </c>
      <c r="K925" s="37">
        <v>27500</v>
      </c>
      <c r="L925" s="38"/>
      <c r="N925" s="71"/>
      <c r="O925" s="72" t="s">
        <v>47</v>
      </c>
      <c r="P925" s="72">
        <v>27</v>
      </c>
      <c r="Q925" s="72">
        <v>4</v>
      </c>
      <c r="R925" s="72">
        <v>0</v>
      </c>
      <c r="S925" s="73"/>
      <c r="T925" s="72" t="s">
        <v>47</v>
      </c>
      <c r="U925" s="74">
        <v>5000</v>
      </c>
      <c r="V925" s="74"/>
      <c r="W925" s="74">
        <f>V925+U925</f>
        <v>5000</v>
      </c>
      <c r="X925" s="74">
        <v>1500</v>
      </c>
      <c r="Y925" s="74">
        <f>W925-X925</f>
        <v>3500</v>
      </c>
      <c r="Z925" s="70"/>
    </row>
    <row r="926" spans="1:26" s="29" customFormat="1" ht="21" hidden="1" customHeight="1" x14ac:dyDescent="0.2">
      <c r="A926" s="30"/>
      <c r="B926" s="29" t="s">
        <v>0</v>
      </c>
      <c r="C926" s="40" t="s">
        <v>109</v>
      </c>
      <c r="H926" s="41"/>
      <c r="I926" s="35"/>
      <c r="L926" s="42"/>
      <c r="M926" s="28"/>
      <c r="N926" s="75"/>
      <c r="O926" s="72" t="s">
        <v>73</v>
      </c>
      <c r="P926" s="72">
        <v>24</v>
      </c>
      <c r="Q926" s="72">
        <v>4</v>
      </c>
      <c r="R926" s="72">
        <v>0</v>
      </c>
      <c r="S926" s="63"/>
      <c r="T926" s="72" t="s">
        <v>73</v>
      </c>
      <c r="U926" s="109">
        <f>Y925</f>
        <v>3500</v>
      </c>
      <c r="V926" s="74"/>
      <c r="W926" s="109">
        <f>IF(U926="","",U926+V926)</f>
        <v>3500</v>
      </c>
      <c r="X926" s="74">
        <v>1500</v>
      </c>
      <c r="Y926" s="109">
        <f>IF(W926="","",W926-X926)</f>
        <v>2000</v>
      </c>
      <c r="Z926" s="76"/>
    </row>
    <row r="927" spans="1:26" s="29" customFormat="1" ht="21" hidden="1" customHeight="1" x14ac:dyDescent="0.2">
      <c r="A927" s="30"/>
      <c r="B927" s="44" t="s">
        <v>43</v>
      </c>
      <c r="C927" s="40"/>
      <c r="F927" s="468" t="s">
        <v>45</v>
      </c>
      <c r="G927" s="468"/>
      <c r="I927" s="468" t="s">
        <v>46</v>
      </c>
      <c r="J927" s="468"/>
      <c r="K927" s="468"/>
      <c r="L927" s="46"/>
      <c r="N927" s="71"/>
      <c r="O927" s="72" t="s">
        <v>48</v>
      </c>
      <c r="P927" s="72">
        <v>23</v>
      </c>
      <c r="Q927" s="72">
        <v>8</v>
      </c>
      <c r="R927" s="72">
        <v>0</v>
      </c>
      <c r="S927" s="63"/>
      <c r="T927" s="72" t="s">
        <v>48</v>
      </c>
      <c r="U927" s="109">
        <f>Y926</f>
        <v>2000</v>
      </c>
      <c r="V927" s="74"/>
      <c r="W927" s="109">
        <f t="shared" ref="W927:W936" si="190">IF(U927="","",U927+V927)</f>
        <v>2000</v>
      </c>
      <c r="X927" s="74">
        <v>1500</v>
      </c>
      <c r="Y927" s="109">
        <f t="shared" ref="Y927:Y936" si="191">IF(W927="","",W927-X927)</f>
        <v>500</v>
      </c>
      <c r="Z927" s="76"/>
    </row>
    <row r="928" spans="1:26" s="29" customFormat="1" ht="21" hidden="1" customHeight="1" x14ac:dyDescent="0.2">
      <c r="A928" s="30"/>
      <c r="H928" s="47"/>
      <c r="L928" s="34"/>
      <c r="N928" s="71"/>
      <c r="O928" s="72" t="s">
        <v>49</v>
      </c>
      <c r="P928" s="72">
        <v>30</v>
      </c>
      <c r="Q928" s="72">
        <v>0</v>
      </c>
      <c r="R928" s="72">
        <v>0</v>
      </c>
      <c r="S928" s="63"/>
      <c r="T928" s="72" t="s">
        <v>49</v>
      </c>
      <c r="U928" s="109">
        <f>Y927</f>
        <v>500</v>
      </c>
      <c r="V928" s="74"/>
      <c r="W928" s="109">
        <f t="shared" si="190"/>
        <v>500</v>
      </c>
      <c r="X928" s="74">
        <v>500</v>
      </c>
      <c r="Y928" s="109">
        <f t="shared" si="191"/>
        <v>0</v>
      </c>
      <c r="Z928" s="76"/>
    </row>
    <row r="929" spans="1:26" s="29" customFormat="1" ht="21" hidden="1" customHeight="1" x14ac:dyDescent="0.2">
      <c r="A929" s="30"/>
      <c r="B929" s="472" t="s">
        <v>44</v>
      </c>
      <c r="C929" s="473"/>
      <c r="F929" s="48" t="s">
        <v>66</v>
      </c>
      <c r="G929" s="43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0</v>
      </c>
      <c r="H929" s="47"/>
      <c r="I929" s="49">
        <f>IF(C933&gt;0,$K$2,C931)</f>
        <v>0</v>
      </c>
      <c r="J929" s="50" t="s">
        <v>63</v>
      </c>
      <c r="K929" s="51">
        <f>K925/$K$2*I929</f>
        <v>0</v>
      </c>
      <c r="L929" s="52"/>
      <c r="N929" s="71"/>
      <c r="O929" s="72" t="s">
        <v>50</v>
      </c>
      <c r="P929" s="72">
        <v>25</v>
      </c>
      <c r="Q929" s="72">
        <v>6</v>
      </c>
      <c r="R929" s="72">
        <v>0</v>
      </c>
      <c r="S929" s="63"/>
      <c r="T929" s="72" t="s">
        <v>50</v>
      </c>
      <c r="U929" s="109">
        <f>Y928</f>
        <v>0</v>
      </c>
      <c r="V929" s="74"/>
      <c r="W929" s="109">
        <f t="shared" si="190"/>
        <v>0</v>
      </c>
      <c r="X929" s="74"/>
      <c r="Y929" s="109">
        <f t="shared" si="191"/>
        <v>0</v>
      </c>
      <c r="Z929" s="76"/>
    </row>
    <row r="930" spans="1:26" s="29" customFormat="1" ht="21" hidden="1" customHeight="1" x14ac:dyDescent="0.2">
      <c r="A930" s="30"/>
      <c r="B930" s="39"/>
      <c r="C930" s="39"/>
      <c r="F930" s="48" t="s">
        <v>22</v>
      </c>
      <c r="G930" s="43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7"/>
      <c r="I930" s="84">
        <v>2</v>
      </c>
      <c r="J930" s="50" t="s">
        <v>64</v>
      </c>
      <c r="K930" s="53">
        <f>K925/$K$2/8*I930</f>
        <v>221.7741935483871</v>
      </c>
      <c r="L930" s="54"/>
      <c r="N930" s="71"/>
      <c r="O930" s="72" t="s">
        <v>51</v>
      </c>
      <c r="P930" s="72">
        <v>24</v>
      </c>
      <c r="Q930" s="72">
        <v>6</v>
      </c>
      <c r="R930" s="72">
        <v>0</v>
      </c>
      <c r="S930" s="63"/>
      <c r="T930" s="72" t="s">
        <v>51</v>
      </c>
      <c r="U930" s="109"/>
      <c r="V930" s="74"/>
      <c r="W930" s="109" t="str">
        <f t="shared" si="190"/>
        <v/>
      </c>
      <c r="X930" s="74"/>
      <c r="Y930" s="109" t="str">
        <f t="shared" si="191"/>
        <v/>
      </c>
      <c r="Z930" s="76"/>
    </row>
    <row r="931" spans="1:26" s="29" customFormat="1" ht="21" hidden="1" customHeight="1" x14ac:dyDescent="0.2">
      <c r="A931" s="30"/>
      <c r="B931" s="48" t="s">
        <v>7</v>
      </c>
      <c r="C931" s="39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0</v>
      </c>
      <c r="F931" s="48" t="s">
        <v>67</v>
      </c>
      <c r="G931" s="43" t="str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/>
      </c>
      <c r="H931" s="47"/>
      <c r="I931" s="456" t="s">
        <v>71</v>
      </c>
      <c r="J931" s="457"/>
      <c r="K931" s="53">
        <f>K929+K930</f>
        <v>221.7741935483871</v>
      </c>
      <c r="L931" s="54"/>
      <c r="N931" s="71"/>
      <c r="O931" s="72" t="s">
        <v>52</v>
      </c>
      <c r="P931" s="72">
        <v>27</v>
      </c>
      <c r="Q931" s="72">
        <v>4</v>
      </c>
      <c r="R931" s="72">
        <v>0</v>
      </c>
      <c r="S931" s="63"/>
      <c r="T931" s="72" t="s">
        <v>52</v>
      </c>
      <c r="U931" s="109"/>
      <c r="V931" s="74"/>
      <c r="W931" s="109" t="str">
        <f t="shared" si="190"/>
        <v/>
      </c>
      <c r="X931" s="74"/>
      <c r="Y931" s="109" t="str">
        <f t="shared" si="191"/>
        <v/>
      </c>
      <c r="Z931" s="76"/>
    </row>
    <row r="932" spans="1:26" s="29" customFormat="1" ht="21" hidden="1" customHeight="1" x14ac:dyDescent="0.2">
      <c r="A932" s="30"/>
      <c r="B932" s="48" t="s">
        <v>6</v>
      </c>
      <c r="C932" s="39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0</v>
      </c>
      <c r="F932" s="48" t="s">
        <v>23</v>
      </c>
      <c r="G932" s="43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7"/>
      <c r="I932" s="456" t="s">
        <v>72</v>
      </c>
      <c r="J932" s="457"/>
      <c r="K932" s="43">
        <f>G932</f>
        <v>0</v>
      </c>
      <c r="L932" s="55"/>
      <c r="N932" s="71"/>
      <c r="O932" s="72" t="s">
        <v>53</v>
      </c>
      <c r="P932" s="72">
        <v>21</v>
      </c>
      <c r="Q932" s="72">
        <v>10</v>
      </c>
      <c r="R932" s="72">
        <v>0</v>
      </c>
      <c r="S932" s="63"/>
      <c r="T932" s="72" t="s">
        <v>53</v>
      </c>
      <c r="U932" s="109"/>
      <c r="V932" s="74"/>
      <c r="W932" s="109" t="str">
        <f t="shared" si="190"/>
        <v/>
      </c>
      <c r="X932" s="74"/>
      <c r="Y932" s="109" t="str">
        <f t="shared" si="191"/>
        <v/>
      </c>
      <c r="Z932" s="76"/>
    </row>
    <row r="933" spans="1:26" s="29" customFormat="1" ht="21" hidden="1" customHeight="1" x14ac:dyDescent="0.2">
      <c r="A933" s="30"/>
      <c r="B933" s="56" t="s">
        <v>70</v>
      </c>
      <c r="C933" s="39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F933" s="48" t="s">
        <v>193</v>
      </c>
      <c r="G933" s="43" t="str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/>
      </c>
      <c r="I933" s="458" t="s">
        <v>65</v>
      </c>
      <c r="J933" s="459"/>
      <c r="K933" s="57"/>
      <c r="L933" s="58"/>
      <c r="N933" s="71"/>
      <c r="O933" s="72" t="s">
        <v>58</v>
      </c>
      <c r="P933" s="72">
        <v>7</v>
      </c>
      <c r="Q933" s="72">
        <v>23</v>
      </c>
      <c r="R933" s="72">
        <v>0</v>
      </c>
      <c r="S933" s="63"/>
      <c r="T933" s="72" t="s">
        <v>58</v>
      </c>
      <c r="U933" s="109"/>
      <c r="V933" s="74"/>
      <c r="W933" s="109" t="str">
        <f t="shared" si="190"/>
        <v/>
      </c>
      <c r="X933" s="74"/>
      <c r="Y933" s="109" t="str">
        <f t="shared" si="191"/>
        <v/>
      </c>
      <c r="Z933" s="76"/>
    </row>
    <row r="934" spans="1:26" s="29" customFormat="1" ht="21" hidden="1" customHeight="1" x14ac:dyDescent="0.2">
      <c r="A934" s="30"/>
      <c r="K934" s="113"/>
      <c r="L934" s="46"/>
      <c r="N934" s="71"/>
      <c r="O934" s="72" t="s">
        <v>54</v>
      </c>
      <c r="P934" s="72"/>
      <c r="Q934" s="72"/>
      <c r="R934" s="72">
        <v>0</v>
      </c>
      <c r="S934" s="63"/>
      <c r="T934" s="72" t="s">
        <v>54</v>
      </c>
      <c r="U934" s="109"/>
      <c r="V934" s="74"/>
      <c r="W934" s="109" t="str">
        <f t="shared" si="190"/>
        <v/>
      </c>
      <c r="X934" s="74"/>
      <c r="Y934" s="109" t="str">
        <f t="shared" si="191"/>
        <v/>
      </c>
      <c r="Z934" s="76"/>
    </row>
    <row r="935" spans="1:26" s="29" customFormat="1" ht="21" hidden="1" customHeight="1" x14ac:dyDescent="0.2">
      <c r="A935" s="30"/>
      <c r="B935" s="455" t="s">
        <v>94</v>
      </c>
      <c r="C935" s="455"/>
      <c r="D935" s="455"/>
      <c r="E935" s="455"/>
      <c r="F935" s="455"/>
      <c r="G935" s="455"/>
      <c r="H935" s="455"/>
      <c r="I935" s="455"/>
      <c r="J935" s="455"/>
      <c r="K935" s="455"/>
      <c r="L935" s="46"/>
      <c r="N935" s="71"/>
      <c r="O935" s="72" t="s">
        <v>59</v>
      </c>
      <c r="P935" s="72"/>
      <c r="Q935" s="72"/>
      <c r="R935" s="72">
        <v>0</v>
      </c>
      <c r="S935" s="63"/>
      <c r="T935" s="72" t="s">
        <v>59</v>
      </c>
      <c r="U935" s="109"/>
      <c r="V935" s="74"/>
      <c r="W935" s="109" t="str">
        <f t="shared" si="190"/>
        <v/>
      </c>
      <c r="X935" s="74"/>
      <c r="Y935" s="109" t="str">
        <f t="shared" si="191"/>
        <v/>
      </c>
      <c r="Z935" s="76"/>
    </row>
    <row r="936" spans="1:26" s="29" customFormat="1" ht="21" hidden="1" customHeight="1" x14ac:dyDescent="0.2">
      <c r="A936" s="30"/>
      <c r="B936" s="455"/>
      <c r="C936" s="455"/>
      <c r="D936" s="455"/>
      <c r="E936" s="455"/>
      <c r="F936" s="455"/>
      <c r="G936" s="455"/>
      <c r="H936" s="455"/>
      <c r="I936" s="455"/>
      <c r="J936" s="455"/>
      <c r="K936" s="455"/>
      <c r="L936" s="46"/>
      <c r="N936" s="71"/>
      <c r="O936" s="72" t="s">
        <v>60</v>
      </c>
      <c r="P936" s="72"/>
      <c r="Q936" s="72"/>
      <c r="R936" s="72">
        <v>0</v>
      </c>
      <c r="S936" s="63"/>
      <c r="T936" s="72" t="s">
        <v>60</v>
      </c>
      <c r="U936" s="109"/>
      <c r="V936" s="74"/>
      <c r="W936" s="109" t="str">
        <f t="shared" si="190"/>
        <v/>
      </c>
      <c r="X936" s="74"/>
      <c r="Y936" s="109" t="str">
        <f t="shared" si="191"/>
        <v/>
      </c>
      <c r="Z936" s="76"/>
    </row>
    <row r="937" spans="1:26" s="29" customFormat="1" ht="21" hidden="1" customHeight="1" thickBot="1" x14ac:dyDescent="0.25">
      <c r="A937" s="5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1"/>
      <c r="N937" s="77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9"/>
    </row>
    <row r="938" spans="1:26" s="29" customFormat="1" ht="21" hidden="1" customHeight="1" thickBot="1" x14ac:dyDescent="0.25"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s="29" customFormat="1" ht="21" customHeight="1" x14ac:dyDescent="0.2">
      <c r="A939" s="463" t="s">
        <v>42</v>
      </c>
      <c r="B939" s="464"/>
      <c r="C939" s="464"/>
      <c r="D939" s="464"/>
      <c r="E939" s="464"/>
      <c r="F939" s="464"/>
      <c r="G939" s="464"/>
      <c r="H939" s="464"/>
      <c r="I939" s="464"/>
      <c r="J939" s="464"/>
      <c r="K939" s="464"/>
      <c r="L939" s="465"/>
      <c r="M939" s="28"/>
      <c r="N939" s="64"/>
      <c r="O939" s="469" t="s">
        <v>44</v>
      </c>
      <c r="P939" s="470"/>
      <c r="Q939" s="470"/>
      <c r="R939" s="471"/>
      <c r="S939" s="65"/>
      <c r="T939" s="469" t="s">
        <v>45</v>
      </c>
      <c r="U939" s="470"/>
      <c r="V939" s="470"/>
      <c r="W939" s="470"/>
      <c r="X939" s="470"/>
      <c r="Y939" s="471"/>
      <c r="Z939" s="66"/>
    </row>
    <row r="940" spans="1:26" s="29" customFormat="1" ht="21" customHeight="1" x14ac:dyDescent="0.2">
      <c r="A940" s="30"/>
      <c r="C940" s="466" t="s">
        <v>92</v>
      </c>
      <c r="D940" s="466"/>
      <c r="E940" s="466"/>
      <c r="F940" s="466"/>
      <c r="G940" s="31" t="str">
        <f>$J$1</f>
        <v>October</v>
      </c>
      <c r="H940" s="467">
        <f>$K$1</f>
        <v>2022</v>
      </c>
      <c r="I940" s="467"/>
      <c r="K940" s="32"/>
      <c r="L940" s="33"/>
      <c r="M940" s="32"/>
      <c r="N940" s="67"/>
      <c r="O940" s="68" t="s">
        <v>55</v>
      </c>
      <c r="P940" s="68" t="s">
        <v>7</v>
      </c>
      <c r="Q940" s="68" t="s">
        <v>6</v>
      </c>
      <c r="R940" s="68" t="s">
        <v>56</v>
      </c>
      <c r="S940" s="69"/>
      <c r="T940" s="68" t="s">
        <v>55</v>
      </c>
      <c r="U940" s="68" t="s">
        <v>57</v>
      </c>
      <c r="V940" s="68" t="s">
        <v>22</v>
      </c>
      <c r="W940" s="68" t="s">
        <v>21</v>
      </c>
      <c r="X940" s="68" t="s">
        <v>23</v>
      </c>
      <c r="Y940" s="68" t="s">
        <v>61</v>
      </c>
      <c r="Z940" s="70"/>
    </row>
    <row r="941" spans="1:26" s="29" customFormat="1" ht="21" customHeight="1" x14ac:dyDescent="0.2">
      <c r="A941" s="30"/>
      <c r="D941" s="35"/>
      <c r="E941" s="35"/>
      <c r="F941" s="35"/>
      <c r="G941" s="35"/>
      <c r="H941" s="35"/>
      <c r="J941" s="36" t="s">
        <v>1</v>
      </c>
      <c r="K941" s="37">
        <v>24500</v>
      </c>
      <c r="L941" s="38"/>
      <c r="N941" s="71"/>
      <c r="O941" s="72" t="s">
        <v>47</v>
      </c>
      <c r="P941" s="72">
        <v>30</v>
      </c>
      <c r="Q941" s="72">
        <v>1</v>
      </c>
      <c r="R941" s="72"/>
      <c r="S941" s="73"/>
      <c r="T941" s="72" t="s">
        <v>47</v>
      </c>
      <c r="U941" s="74"/>
      <c r="V941" s="74"/>
      <c r="W941" s="74">
        <f>V941+U941</f>
        <v>0</v>
      </c>
      <c r="X941" s="74"/>
      <c r="Y941" s="74">
        <f>W941-X941</f>
        <v>0</v>
      </c>
      <c r="Z941" s="70"/>
    </row>
    <row r="942" spans="1:26" s="29" customFormat="1" ht="21" customHeight="1" x14ac:dyDescent="0.2">
      <c r="A942" s="30"/>
      <c r="B942" s="29" t="s">
        <v>0</v>
      </c>
      <c r="C942" s="40" t="s">
        <v>184</v>
      </c>
      <c r="H942" s="41"/>
      <c r="I942" s="35"/>
      <c r="L942" s="42"/>
      <c r="M942" s="28"/>
      <c r="N942" s="75"/>
      <c r="O942" s="72" t="s">
        <v>73</v>
      </c>
      <c r="P942" s="72">
        <v>27</v>
      </c>
      <c r="Q942" s="72">
        <v>1</v>
      </c>
      <c r="R942" s="72"/>
      <c r="S942" s="63"/>
      <c r="T942" s="72" t="s">
        <v>73</v>
      </c>
      <c r="U942" s="109">
        <f>IF($J$1="January","",Y941)</f>
        <v>0</v>
      </c>
      <c r="V942" s="74"/>
      <c r="W942" s="109">
        <f>IF(U942="","",U942+V942)</f>
        <v>0</v>
      </c>
      <c r="X942" s="74"/>
      <c r="Y942" s="109">
        <f>IF(W942="","",W942-X942)</f>
        <v>0</v>
      </c>
      <c r="Z942" s="76"/>
    </row>
    <row r="943" spans="1:26" s="29" customFormat="1" ht="21" customHeight="1" x14ac:dyDescent="0.2">
      <c r="A943" s="30"/>
      <c r="B943" s="44" t="s">
        <v>43</v>
      </c>
      <c r="C943" s="40"/>
      <c r="F943" s="468" t="s">
        <v>45</v>
      </c>
      <c r="G943" s="468"/>
      <c r="I943" s="468" t="s">
        <v>46</v>
      </c>
      <c r="J943" s="468"/>
      <c r="K943" s="468"/>
      <c r="L943" s="46"/>
      <c r="N943" s="71"/>
      <c r="O943" s="72" t="s">
        <v>48</v>
      </c>
      <c r="P943" s="72">
        <v>15</v>
      </c>
      <c r="Q943" s="72">
        <v>16</v>
      </c>
      <c r="R943" s="72">
        <v>0</v>
      </c>
      <c r="S943" s="63"/>
      <c r="T943" s="72" t="s">
        <v>48</v>
      </c>
      <c r="U943" s="109">
        <v>30000</v>
      </c>
      <c r="V943" s="74"/>
      <c r="W943" s="109">
        <f t="shared" ref="W943:W952" si="192">IF(U943="","",U943+V943)</f>
        <v>30000</v>
      </c>
      <c r="X943" s="74">
        <v>5000</v>
      </c>
      <c r="Y943" s="109">
        <f t="shared" ref="Y943:Y952" si="193">IF(W943="","",W943-X943)</f>
        <v>25000</v>
      </c>
      <c r="Z943" s="76"/>
    </row>
    <row r="944" spans="1:26" s="29" customFormat="1" ht="21" customHeight="1" x14ac:dyDescent="0.2">
      <c r="A944" s="30"/>
      <c r="H944" s="47"/>
      <c r="L944" s="34"/>
      <c r="N944" s="71"/>
      <c r="O944" s="72" t="s">
        <v>49</v>
      </c>
      <c r="P944" s="72">
        <v>30</v>
      </c>
      <c r="Q944" s="72">
        <v>0</v>
      </c>
      <c r="R944" s="72">
        <v>0</v>
      </c>
      <c r="S944" s="63"/>
      <c r="T944" s="72" t="s">
        <v>49</v>
      </c>
      <c r="U944" s="109">
        <f t="shared" ref="U944:U949" si="194">Y943</f>
        <v>25000</v>
      </c>
      <c r="V944" s="74"/>
      <c r="W944" s="109">
        <f t="shared" si="192"/>
        <v>25000</v>
      </c>
      <c r="X944" s="74">
        <v>5000</v>
      </c>
      <c r="Y944" s="109">
        <f t="shared" si="193"/>
        <v>20000</v>
      </c>
      <c r="Z944" s="76"/>
    </row>
    <row r="945" spans="1:27" s="29" customFormat="1" ht="21" customHeight="1" x14ac:dyDescent="0.2">
      <c r="A945" s="30"/>
      <c r="B945" s="472" t="s">
        <v>44</v>
      </c>
      <c r="C945" s="473"/>
      <c r="F945" s="48" t="s">
        <v>66</v>
      </c>
      <c r="G945" s="43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7"/>
      <c r="I945" s="167">
        <f>IF(C949&gt;0,$K$2,C947)</f>
        <v>31</v>
      </c>
      <c r="J945" s="50" t="s">
        <v>63</v>
      </c>
      <c r="K945" s="51">
        <f>K941/$K$2*I945</f>
        <v>24500</v>
      </c>
      <c r="L945" s="52"/>
      <c r="N945" s="71"/>
      <c r="O945" s="72" t="s">
        <v>50</v>
      </c>
      <c r="P945" s="72">
        <v>30</v>
      </c>
      <c r="Q945" s="72">
        <v>1</v>
      </c>
      <c r="R945" s="72">
        <v>0</v>
      </c>
      <c r="S945" s="63"/>
      <c r="T945" s="72" t="s">
        <v>50</v>
      </c>
      <c r="U945" s="109">
        <f t="shared" si="194"/>
        <v>20000</v>
      </c>
      <c r="V945" s="74"/>
      <c r="W945" s="109">
        <f t="shared" si="192"/>
        <v>20000</v>
      </c>
      <c r="X945" s="74">
        <v>5000</v>
      </c>
      <c r="Y945" s="109">
        <f t="shared" si="193"/>
        <v>15000</v>
      </c>
      <c r="Z945" s="76"/>
    </row>
    <row r="946" spans="1:27" s="29" customFormat="1" ht="21" customHeight="1" x14ac:dyDescent="0.2">
      <c r="A946" s="30"/>
      <c r="B946" s="39"/>
      <c r="C946" s="39"/>
      <c r="F946" s="48" t="s">
        <v>22</v>
      </c>
      <c r="G946" s="43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7"/>
      <c r="I946" s="84">
        <v>53</v>
      </c>
      <c r="J946" s="50" t="s">
        <v>64</v>
      </c>
      <c r="K946" s="53">
        <f>K941/$K$2/8*I946</f>
        <v>5235.8870967741941</v>
      </c>
      <c r="L946" s="54"/>
      <c r="N946" s="71"/>
      <c r="O946" s="72" t="s">
        <v>51</v>
      </c>
      <c r="P946" s="72">
        <v>30</v>
      </c>
      <c r="Q946" s="72">
        <v>0</v>
      </c>
      <c r="R946" s="72">
        <v>0</v>
      </c>
      <c r="S946" s="63"/>
      <c r="T946" s="72" t="s">
        <v>51</v>
      </c>
      <c r="U946" s="109">
        <f t="shared" si="194"/>
        <v>15000</v>
      </c>
      <c r="V946" s="74"/>
      <c r="W946" s="109">
        <f t="shared" si="192"/>
        <v>15000</v>
      </c>
      <c r="X946" s="74"/>
      <c r="Y946" s="109">
        <f t="shared" si="193"/>
        <v>15000</v>
      </c>
      <c r="Z946" s="76"/>
    </row>
    <row r="947" spans="1:27" s="29" customFormat="1" ht="21" customHeight="1" x14ac:dyDescent="0.2">
      <c r="A947" s="30"/>
      <c r="B947" s="48" t="s">
        <v>7</v>
      </c>
      <c r="C947" s="39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31</v>
      </c>
      <c r="F947" s="48" t="s">
        <v>67</v>
      </c>
      <c r="G947" s="43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0</v>
      </c>
      <c r="H947" s="47"/>
      <c r="I947" s="456" t="s">
        <v>71</v>
      </c>
      <c r="J947" s="457"/>
      <c r="K947" s="53">
        <f>K945+K946</f>
        <v>29735.887096774193</v>
      </c>
      <c r="L947" s="54"/>
      <c r="N947" s="71"/>
      <c r="O947" s="72" t="s">
        <v>52</v>
      </c>
      <c r="P947" s="72">
        <v>28</v>
      </c>
      <c r="Q947" s="72">
        <v>3</v>
      </c>
      <c r="R947" s="72">
        <v>0</v>
      </c>
      <c r="S947" s="63"/>
      <c r="T947" s="72" t="s">
        <v>52</v>
      </c>
      <c r="U947" s="109">
        <f t="shared" si="194"/>
        <v>15000</v>
      </c>
      <c r="V947" s="74"/>
      <c r="W947" s="109">
        <f t="shared" si="192"/>
        <v>15000</v>
      </c>
      <c r="X947" s="74">
        <v>5000</v>
      </c>
      <c r="Y947" s="109">
        <f t="shared" si="193"/>
        <v>10000</v>
      </c>
      <c r="Z947" s="76"/>
    </row>
    <row r="948" spans="1:27" s="29" customFormat="1" ht="21" customHeight="1" x14ac:dyDescent="0.2">
      <c r="A948" s="30"/>
      <c r="B948" s="48" t="s">
        <v>6</v>
      </c>
      <c r="C948" s="39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F948" s="48" t="s">
        <v>23</v>
      </c>
      <c r="G948" s="43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7"/>
      <c r="I948" s="456" t="s">
        <v>72</v>
      </c>
      <c r="J948" s="457"/>
      <c r="K948" s="43">
        <f>G948</f>
        <v>0</v>
      </c>
      <c r="L948" s="55"/>
      <c r="N948" s="71"/>
      <c r="O948" s="72" t="s">
        <v>53</v>
      </c>
      <c r="P948" s="72">
        <v>31</v>
      </c>
      <c r="Q948" s="72">
        <v>0</v>
      </c>
      <c r="R948" s="72">
        <v>0</v>
      </c>
      <c r="S948" s="63"/>
      <c r="T948" s="72" t="s">
        <v>53</v>
      </c>
      <c r="U948" s="109">
        <f t="shared" si="194"/>
        <v>10000</v>
      </c>
      <c r="V948" s="74"/>
      <c r="W948" s="109">
        <f t="shared" si="192"/>
        <v>10000</v>
      </c>
      <c r="X948" s="74">
        <v>5000</v>
      </c>
      <c r="Y948" s="109">
        <f t="shared" si="193"/>
        <v>5000</v>
      </c>
      <c r="Z948" s="76"/>
    </row>
    <row r="949" spans="1:27" s="29" customFormat="1" ht="21" customHeight="1" x14ac:dyDescent="0.2">
      <c r="A949" s="30"/>
      <c r="B949" s="56" t="s">
        <v>70</v>
      </c>
      <c r="C949" s="39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F949" s="48" t="s">
        <v>193</v>
      </c>
      <c r="G949" s="43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I949" s="458" t="s">
        <v>65</v>
      </c>
      <c r="J949" s="459"/>
      <c r="K949" s="57">
        <f>K947-K948</f>
        <v>29735.887096774193</v>
      </c>
      <c r="L949" s="58"/>
      <c r="N949" s="71"/>
      <c r="O949" s="72" t="s">
        <v>58</v>
      </c>
      <c r="P949" s="72">
        <v>30</v>
      </c>
      <c r="Q949" s="72">
        <v>0</v>
      </c>
      <c r="R949" s="72">
        <v>0</v>
      </c>
      <c r="S949" s="63"/>
      <c r="T949" s="72" t="s">
        <v>58</v>
      </c>
      <c r="U949" s="109">
        <f t="shared" si="194"/>
        <v>5000</v>
      </c>
      <c r="V949" s="74"/>
      <c r="W949" s="109">
        <f t="shared" si="192"/>
        <v>5000</v>
      </c>
      <c r="X949" s="74">
        <v>5000</v>
      </c>
      <c r="Y949" s="109">
        <f t="shared" si="193"/>
        <v>0</v>
      </c>
      <c r="Z949" s="76"/>
    </row>
    <row r="950" spans="1:27" s="29" customFormat="1" ht="21" customHeight="1" x14ac:dyDescent="0.2">
      <c r="A950" s="30"/>
      <c r="K950" s="113"/>
      <c r="L950" s="46"/>
      <c r="N950" s="71"/>
      <c r="O950" s="72" t="s">
        <v>54</v>
      </c>
      <c r="P950" s="72">
        <v>31</v>
      </c>
      <c r="Q950" s="72">
        <v>0</v>
      </c>
      <c r="R950" s="72">
        <v>0</v>
      </c>
      <c r="S950" s="63"/>
      <c r="T950" s="72" t="s">
        <v>54</v>
      </c>
      <c r="U950" s="109">
        <f>Y949</f>
        <v>0</v>
      </c>
      <c r="V950" s="74"/>
      <c r="W950" s="109">
        <f t="shared" si="192"/>
        <v>0</v>
      </c>
      <c r="X950" s="74"/>
      <c r="Y950" s="109">
        <f t="shared" si="193"/>
        <v>0</v>
      </c>
      <c r="Z950" s="76"/>
    </row>
    <row r="951" spans="1:27" s="29" customFormat="1" ht="21" customHeight="1" x14ac:dyDescent="0.2">
      <c r="A951" s="30"/>
      <c r="B951" s="455" t="s">
        <v>94</v>
      </c>
      <c r="C951" s="455"/>
      <c r="D951" s="455"/>
      <c r="E951" s="455"/>
      <c r="F951" s="455"/>
      <c r="G951" s="455"/>
      <c r="H951" s="455"/>
      <c r="I951" s="455"/>
      <c r="J951" s="455"/>
      <c r="K951" s="455"/>
      <c r="L951" s="46"/>
      <c r="N951" s="71"/>
      <c r="O951" s="72" t="s">
        <v>59</v>
      </c>
      <c r="P951" s="72"/>
      <c r="Q951" s="72"/>
      <c r="R951" s="72">
        <v>0</v>
      </c>
      <c r="S951" s="63"/>
      <c r="T951" s="72" t="s">
        <v>59</v>
      </c>
      <c r="U951" s="109"/>
      <c r="V951" s="74"/>
      <c r="W951" s="109" t="str">
        <f t="shared" si="192"/>
        <v/>
      </c>
      <c r="X951" s="74"/>
      <c r="Y951" s="109" t="str">
        <f t="shared" si="193"/>
        <v/>
      </c>
      <c r="Z951" s="76"/>
    </row>
    <row r="952" spans="1:27" s="29" customFormat="1" ht="21" customHeight="1" x14ac:dyDescent="0.2">
      <c r="A952" s="30"/>
      <c r="B952" s="455"/>
      <c r="C952" s="455"/>
      <c r="D952" s="455"/>
      <c r="E952" s="455"/>
      <c r="F952" s="455"/>
      <c r="G952" s="455"/>
      <c r="H952" s="455"/>
      <c r="I952" s="455"/>
      <c r="J952" s="455"/>
      <c r="K952" s="455"/>
      <c r="L952" s="46"/>
      <c r="N952" s="71"/>
      <c r="O952" s="72" t="s">
        <v>60</v>
      </c>
      <c r="P952" s="72"/>
      <c r="Q952" s="72"/>
      <c r="R952" s="72">
        <v>0</v>
      </c>
      <c r="S952" s="63"/>
      <c r="T952" s="72" t="s">
        <v>60</v>
      </c>
      <c r="U952" s="109"/>
      <c r="V952" s="74"/>
      <c r="W952" s="109" t="str">
        <f t="shared" si="192"/>
        <v/>
      </c>
      <c r="X952" s="74"/>
      <c r="Y952" s="109" t="str">
        <f t="shared" si="193"/>
        <v/>
      </c>
      <c r="Z952" s="76"/>
    </row>
    <row r="953" spans="1:27" s="29" customFormat="1" ht="21" customHeight="1" thickBot="1" x14ac:dyDescent="0.25">
      <c r="A953" s="5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1"/>
      <c r="N953" s="77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9"/>
    </row>
    <row r="954" spans="1:27" s="29" customFormat="1" ht="21" customHeight="1" thickBot="1" x14ac:dyDescent="0.25"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7" s="29" customFormat="1" ht="21" customHeight="1" x14ac:dyDescent="0.2">
      <c r="A955" s="463" t="s">
        <v>42</v>
      </c>
      <c r="B955" s="464"/>
      <c r="C955" s="464"/>
      <c r="D955" s="464"/>
      <c r="E955" s="464"/>
      <c r="F955" s="464"/>
      <c r="G955" s="464"/>
      <c r="H955" s="464"/>
      <c r="I955" s="464"/>
      <c r="J955" s="464"/>
      <c r="K955" s="464"/>
      <c r="L955" s="465"/>
      <c r="M955" s="28"/>
      <c r="N955" s="64"/>
      <c r="O955" s="469" t="s">
        <v>44</v>
      </c>
      <c r="P955" s="470"/>
      <c r="Q955" s="470"/>
      <c r="R955" s="471"/>
      <c r="S955" s="65"/>
      <c r="T955" s="469" t="s">
        <v>45</v>
      </c>
      <c r="U955" s="470"/>
      <c r="V955" s="470"/>
      <c r="W955" s="470"/>
      <c r="X955" s="470"/>
      <c r="Y955" s="471"/>
      <c r="Z955" s="66"/>
      <c r="AA955" s="28"/>
    </row>
    <row r="956" spans="1:27" s="29" customFormat="1" ht="21" customHeight="1" x14ac:dyDescent="0.2">
      <c r="A956" s="30"/>
      <c r="C956" s="466" t="s">
        <v>92</v>
      </c>
      <c r="D956" s="466"/>
      <c r="E956" s="466"/>
      <c r="F956" s="466"/>
      <c r="G956" s="31" t="str">
        <f>$J$1</f>
        <v>October</v>
      </c>
      <c r="H956" s="467">
        <f>$K$1</f>
        <v>2022</v>
      </c>
      <c r="I956" s="467"/>
      <c r="K956" s="32"/>
      <c r="L956" s="33"/>
      <c r="M956" s="32"/>
      <c r="N956" s="67"/>
      <c r="O956" s="68" t="s">
        <v>55</v>
      </c>
      <c r="P956" s="68" t="s">
        <v>7</v>
      </c>
      <c r="Q956" s="68" t="s">
        <v>6</v>
      </c>
      <c r="R956" s="68" t="s">
        <v>56</v>
      </c>
      <c r="S956" s="69"/>
      <c r="T956" s="68" t="s">
        <v>55</v>
      </c>
      <c r="U956" s="68" t="s">
        <v>57</v>
      </c>
      <c r="V956" s="68" t="s">
        <v>22</v>
      </c>
      <c r="W956" s="68" t="s">
        <v>21</v>
      </c>
      <c r="X956" s="68" t="s">
        <v>23</v>
      </c>
      <c r="Y956" s="68" t="s">
        <v>61</v>
      </c>
      <c r="Z956" s="70"/>
      <c r="AA956" s="32"/>
    </row>
    <row r="957" spans="1:27" s="29" customFormat="1" ht="21" customHeight="1" x14ac:dyDescent="0.2">
      <c r="A957" s="30"/>
      <c r="D957" s="35"/>
      <c r="E957" s="35"/>
      <c r="F957" s="35"/>
      <c r="G957" s="35"/>
      <c r="H957" s="35"/>
      <c r="J957" s="36" t="s">
        <v>1</v>
      </c>
      <c r="K957" s="131">
        <f>20000+2500</f>
        <v>22500</v>
      </c>
      <c r="L957" s="38"/>
      <c r="N957" s="71"/>
      <c r="O957" s="72" t="s">
        <v>47</v>
      </c>
      <c r="P957" s="72">
        <v>31</v>
      </c>
      <c r="Q957" s="72">
        <v>0</v>
      </c>
      <c r="R957" s="72">
        <v>0</v>
      </c>
      <c r="S957" s="73"/>
      <c r="T957" s="72" t="s">
        <v>47</v>
      </c>
      <c r="U957" s="74"/>
      <c r="V957" s="74"/>
      <c r="W957" s="74">
        <f>V957+U957</f>
        <v>0</v>
      </c>
      <c r="X957" s="74"/>
      <c r="Y957" s="74">
        <f>W957-X957</f>
        <v>0</v>
      </c>
      <c r="Z957" s="70"/>
    </row>
    <row r="958" spans="1:27" s="29" customFormat="1" ht="21" customHeight="1" x14ac:dyDescent="0.2">
      <c r="A958" s="30"/>
      <c r="B958" s="29" t="s">
        <v>0</v>
      </c>
      <c r="C958" s="40" t="s">
        <v>183</v>
      </c>
      <c r="H958" s="41"/>
      <c r="I958" s="35"/>
      <c r="L958" s="42"/>
      <c r="M958" s="28"/>
      <c r="N958" s="75"/>
      <c r="O958" s="72" t="s">
        <v>73</v>
      </c>
      <c r="P958" s="72">
        <v>28</v>
      </c>
      <c r="Q958" s="72">
        <v>0</v>
      </c>
      <c r="R958" s="72">
        <f>IF(Q958="","",R957-Q958)</f>
        <v>0</v>
      </c>
      <c r="S958" s="63"/>
      <c r="T958" s="72" t="s">
        <v>73</v>
      </c>
      <c r="U958" s="109">
        <f>IF($J$1="January","",Y957)</f>
        <v>0</v>
      </c>
      <c r="V958" s="74"/>
      <c r="W958" s="109">
        <f>IF(U958="","",U958+V958)</f>
        <v>0</v>
      </c>
      <c r="X958" s="74"/>
      <c r="Y958" s="109">
        <f>IF(W958="","",W958-X958)</f>
        <v>0</v>
      </c>
      <c r="Z958" s="76"/>
      <c r="AA958" s="28"/>
    </row>
    <row r="959" spans="1:27" s="29" customFormat="1" ht="21" customHeight="1" x14ac:dyDescent="0.2">
      <c r="A959" s="30"/>
      <c r="B959" s="44" t="s">
        <v>43</v>
      </c>
      <c r="C959" s="45"/>
      <c r="F959" s="468" t="s">
        <v>45</v>
      </c>
      <c r="G959" s="468"/>
      <c r="I959" s="468" t="s">
        <v>46</v>
      </c>
      <c r="J959" s="468"/>
      <c r="K959" s="468"/>
      <c r="L959" s="46"/>
      <c r="N959" s="71"/>
      <c r="O959" s="72" t="s">
        <v>48</v>
      </c>
      <c r="P959" s="72">
        <v>31</v>
      </c>
      <c r="Q959" s="72">
        <v>0</v>
      </c>
      <c r="R959" s="72">
        <v>0</v>
      </c>
      <c r="S959" s="63"/>
      <c r="T959" s="72" t="s">
        <v>48</v>
      </c>
      <c r="U959" s="109">
        <f>IF($J$1="February","",Y958)</f>
        <v>0</v>
      </c>
      <c r="V959" s="74"/>
      <c r="W959" s="109">
        <f t="shared" ref="W959:W968" si="195">IF(U959="","",U959+V959)</f>
        <v>0</v>
      </c>
      <c r="X959" s="74"/>
      <c r="Y959" s="109">
        <f t="shared" ref="Y959:Y968" si="196">IF(W959="","",W959-X959)</f>
        <v>0</v>
      </c>
      <c r="Z959" s="76"/>
    </row>
    <row r="960" spans="1:27" s="29" customFormat="1" ht="21" customHeight="1" x14ac:dyDescent="0.2">
      <c r="A960" s="30"/>
      <c r="H960" s="47"/>
      <c r="L960" s="34"/>
      <c r="N960" s="71"/>
      <c r="O960" s="72" t="s">
        <v>49</v>
      </c>
      <c r="P960" s="72">
        <v>30</v>
      </c>
      <c r="Q960" s="72">
        <v>0</v>
      </c>
      <c r="R960" s="72">
        <v>0</v>
      </c>
      <c r="S960" s="63"/>
      <c r="T960" s="72" t="s">
        <v>49</v>
      </c>
      <c r="U960" s="109">
        <f>IF($J$1="March","",Y959)</f>
        <v>0</v>
      </c>
      <c r="V960" s="74"/>
      <c r="W960" s="109">
        <f t="shared" si="195"/>
        <v>0</v>
      </c>
      <c r="X960" s="74"/>
      <c r="Y960" s="109">
        <f t="shared" si="196"/>
        <v>0</v>
      </c>
      <c r="Z960" s="76"/>
    </row>
    <row r="961" spans="1:26" s="29" customFormat="1" ht="21" customHeight="1" x14ac:dyDescent="0.2">
      <c r="A961" s="30"/>
      <c r="B961" s="472" t="s">
        <v>44</v>
      </c>
      <c r="C961" s="473"/>
      <c r="F961" s="48" t="s">
        <v>66</v>
      </c>
      <c r="G961" s="43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7"/>
      <c r="I961" s="49">
        <f>IF(C965&gt;0,$K$2,C963)</f>
        <v>31</v>
      </c>
      <c r="J961" s="50" t="s">
        <v>63</v>
      </c>
      <c r="K961" s="51">
        <f>K957/$K$2*I961</f>
        <v>22500</v>
      </c>
      <c r="L961" s="52"/>
      <c r="N961" s="71"/>
      <c r="O961" s="72" t="s">
        <v>50</v>
      </c>
      <c r="P961" s="72">
        <v>31</v>
      </c>
      <c r="Q961" s="72">
        <v>0</v>
      </c>
      <c r="R961" s="72">
        <v>0</v>
      </c>
      <c r="S961" s="63"/>
      <c r="T961" s="72" t="s">
        <v>50</v>
      </c>
      <c r="U961" s="109">
        <f>IF($J$1="April","",Y960)</f>
        <v>0</v>
      </c>
      <c r="V961" s="74"/>
      <c r="W961" s="109">
        <f t="shared" si="195"/>
        <v>0</v>
      </c>
      <c r="X961" s="74"/>
      <c r="Y961" s="109">
        <f t="shared" si="196"/>
        <v>0</v>
      </c>
      <c r="Z961" s="76"/>
    </row>
    <row r="962" spans="1:26" s="29" customFormat="1" ht="21" customHeight="1" x14ac:dyDescent="0.2">
      <c r="A962" s="30"/>
      <c r="B962" s="39"/>
      <c r="C962" s="39"/>
      <c r="F962" s="48" t="s">
        <v>22</v>
      </c>
      <c r="G962" s="43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7"/>
      <c r="I962" s="84">
        <v>57</v>
      </c>
      <c r="J962" s="50" t="s">
        <v>64</v>
      </c>
      <c r="K962" s="53">
        <f>K957/$K$2/8*I962</f>
        <v>5171.3709677419347</v>
      </c>
      <c r="L962" s="54"/>
      <c r="N962" s="71"/>
      <c r="O962" s="72" t="s">
        <v>51</v>
      </c>
      <c r="P962" s="72">
        <v>29</v>
      </c>
      <c r="Q962" s="72">
        <v>1</v>
      </c>
      <c r="R962" s="72">
        <v>0</v>
      </c>
      <c r="S962" s="63"/>
      <c r="T962" s="72" t="s">
        <v>51</v>
      </c>
      <c r="U962" s="109">
        <f>IF($J$1="May","",Y961)</f>
        <v>0</v>
      </c>
      <c r="V962" s="74"/>
      <c r="W962" s="109">
        <f t="shared" si="195"/>
        <v>0</v>
      </c>
      <c r="X962" s="74"/>
      <c r="Y962" s="109">
        <f t="shared" si="196"/>
        <v>0</v>
      </c>
      <c r="Z962" s="76"/>
    </row>
    <row r="963" spans="1:26" s="29" customFormat="1" ht="21" customHeight="1" x14ac:dyDescent="0.2">
      <c r="A963" s="30"/>
      <c r="B963" s="48" t="s">
        <v>7</v>
      </c>
      <c r="C963" s="39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31</v>
      </c>
      <c r="F963" s="48" t="s">
        <v>67</v>
      </c>
      <c r="G963" s="43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7"/>
      <c r="I963" s="456" t="s">
        <v>71</v>
      </c>
      <c r="J963" s="457"/>
      <c r="K963" s="53">
        <f>K961+K962</f>
        <v>27671.370967741936</v>
      </c>
      <c r="L963" s="54"/>
      <c r="N963" s="71"/>
      <c r="O963" s="72" t="s">
        <v>52</v>
      </c>
      <c r="P963" s="72">
        <f>31-12</f>
        <v>19</v>
      </c>
      <c r="Q963" s="72">
        <v>12</v>
      </c>
      <c r="R963" s="72">
        <v>0</v>
      </c>
      <c r="S963" s="63"/>
      <c r="T963" s="72" t="s">
        <v>52</v>
      </c>
      <c r="U963" s="109">
        <f>IF($J$1="June","",Y962)</f>
        <v>0</v>
      </c>
      <c r="V963" s="74"/>
      <c r="W963" s="109">
        <f t="shared" si="195"/>
        <v>0</v>
      </c>
      <c r="X963" s="74"/>
      <c r="Y963" s="109">
        <f t="shared" si="196"/>
        <v>0</v>
      </c>
      <c r="Z963" s="76"/>
    </row>
    <row r="964" spans="1:26" s="29" customFormat="1" ht="21" customHeight="1" x14ac:dyDescent="0.2">
      <c r="A964" s="30"/>
      <c r="B964" s="48" t="s">
        <v>6</v>
      </c>
      <c r="C964" s="39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F964" s="48" t="s">
        <v>23</v>
      </c>
      <c r="G964" s="43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7"/>
      <c r="I964" s="456" t="s">
        <v>72</v>
      </c>
      <c r="J964" s="457"/>
      <c r="K964" s="43">
        <f>G964</f>
        <v>0</v>
      </c>
      <c r="L964" s="55"/>
      <c r="N964" s="71"/>
      <c r="O964" s="72" t="s">
        <v>53</v>
      </c>
      <c r="P964" s="72">
        <v>25</v>
      </c>
      <c r="Q964" s="72">
        <v>6</v>
      </c>
      <c r="R964" s="72">
        <v>0</v>
      </c>
      <c r="S964" s="63"/>
      <c r="T964" s="72" t="s">
        <v>53</v>
      </c>
      <c r="U964" s="109">
        <f>IF($J$1="July","",Y963)</f>
        <v>0</v>
      </c>
      <c r="V964" s="74"/>
      <c r="W964" s="109">
        <f t="shared" si="195"/>
        <v>0</v>
      </c>
      <c r="X964" s="74"/>
      <c r="Y964" s="109">
        <f t="shared" si="196"/>
        <v>0</v>
      </c>
      <c r="Z964" s="76"/>
    </row>
    <row r="965" spans="1:26" s="29" customFormat="1" ht="21" customHeight="1" x14ac:dyDescent="0.2">
      <c r="A965" s="30"/>
      <c r="B965" s="56" t="s">
        <v>70</v>
      </c>
      <c r="C965" s="39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F965" s="48" t="s">
        <v>69</v>
      </c>
      <c r="G965" s="43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I965" s="458" t="s">
        <v>65</v>
      </c>
      <c r="J965" s="459"/>
      <c r="K965" s="57">
        <f>K963-K964</f>
        <v>27671.370967741936</v>
      </c>
      <c r="L965" s="58"/>
      <c r="N965" s="71"/>
      <c r="O965" s="72" t="s">
        <v>58</v>
      </c>
      <c r="P965" s="72">
        <v>30</v>
      </c>
      <c r="Q965" s="72">
        <v>0</v>
      </c>
      <c r="R965" s="72">
        <v>0</v>
      </c>
      <c r="S965" s="63"/>
      <c r="T965" s="72" t="s">
        <v>58</v>
      </c>
      <c r="U965" s="109">
        <f>IF($J$1="August","",Y964)</f>
        <v>0</v>
      </c>
      <c r="V965" s="74"/>
      <c r="W965" s="109">
        <f t="shared" si="195"/>
        <v>0</v>
      </c>
      <c r="X965" s="74"/>
      <c r="Y965" s="109">
        <f t="shared" si="196"/>
        <v>0</v>
      </c>
      <c r="Z965" s="76"/>
    </row>
    <row r="966" spans="1:26" s="29" customFormat="1" ht="21" customHeight="1" x14ac:dyDescent="0.2">
      <c r="A966" s="30"/>
      <c r="G966" s="113"/>
      <c r="K966" s="113"/>
      <c r="L966" s="46"/>
      <c r="N966" s="71"/>
      <c r="O966" s="72" t="s">
        <v>54</v>
      </c>
      <c r="P966" s="72">
        <v>31</v>
      </c>
      <c r="Q966" s="72">
        <v>0</v>
      </c>
      <c r="R966" s="72">
        <v>0</v>
      </c>
      <c r="S966" s="63"/>
      <c r="T966" s="72" t="s">
        <v>54</v>
      </c>
      <c r="U966" s="109">
        <f>IF($J$1="September","",Y965)</f>
        <v>0</v>
      </c>
      <c r="V966" s="74"/>
      <c r="W966" s="109">
        <f t="shared" si="195"/>
        <v>0</v>
      </c>
      <c r="X966" s="74"/>
      <c r="Y966" s="109">
        <f t="shared" si="196"/>
        <v>0</v>
      </c>
      <c r="Z966" s="76"/>
    </row>
    <row r="967" spans="1:26" s="29" customFormat="1" ht="21" customHeight="1" x14ac:dyDescent="0.2">
      <c r="A967" s="30"/>
      <c r="B967" s="455" t="s">
        <v>94</v>
      </c>
      <c r="C967" s="455"/>
      <c r="D967" s="455"/>
      <c r="E967" s="455"/>
      <c r="F967" s="455"/>
      <c r="G967" s="455"/>
      <c r="H967" s="455"/>
      <c r="I967" s="455"/>
      <c r="J967" s="455"/>
      <c r="K967" s="455"/>
      <c r="L967" s="46"/>
      <c r="N967" s="71"/>
      <c r="O967" s="72" t="s">
        <v>59</v>
      </c>
      <c r="P967" s="72"/>
      <c r="Q967" s="72"/>
      <c r="R967" s="72" t="str">
        <f t="shared" ref="R967:R968" si="197">IF(Q967="","",R966-Q967)</f>
        <v/>
      </c>
      <c r="S967" s="63"/>
      <c r="T967" s="72" t="s">
        <v>59</v>
      </c>
      <c r="U967" s="109" t="str">
        <f>IF($J$1="October","",Y966)</f>
        <v/>
      </c>
      <c r="V967" s="74"/>
      <c r="W967" s="109" t="str">
        <f t="shared" si="195"/>
        <v/>
      </c>
      <c r="X967" s="74"/>
      <c r="Y967" s="109" t="str">
        <f t="shared" si="196"/>
        <v/>
      </c>
      <c r="Z967" s="76"/>
    </row>
    <row r="968" spans="1:26" s="29" customFormat="1" ht="21" customHeight="1" x14ac:dyDescent="0.2">
      <c r="A968" s="30"/>
      <c r="B968" s="455"/>
      <c r="C968" s="455"/>
      <c r="D968" s="455"/>
      <c r="E968" s="455"/>
      <c r="F968" s="455"/>
      <c r="G968" s="455"/>
      <c r="H968" s="455"/>
      <c r="I968" s="455"/>
      <c r="J968" s="455"/>
      <c r="K968" s="455"/>
      <c r="L968" s="46"/>
      <c r="N968" s="71"/>
      <c r="O968" s="72" t="s">
        <v>60</v>
      </c>
      <c r="P968" s="72"/>
      <c r="Q968" s="72"/>
      <c r="R968" s="72" t="str">
        <f t="shared" si="197"/>
        <v/>
      </c>
      <c r="S968" s="63"/>
      <c r="T968" s="72" t="s">
        <v>60</v>
      </c>
      <c r="U968" s="109" t="str">
        <f>IF($J$1="November","",Y967)</f>
        <v/>
      </c>
      <c r="V968" s="74"/>
      <c r="W968" s="109" t="str">
        <f t="shared" si="195"/>
        <v/>
      </c>
      <c r="X968" s="74"/>
      <c r="Y968" s="109" t="str">
        <f t="shared" si="196"/>
        <v/>
      </c>
      <c r="Z968" s="76"/>
    </row>
    <row r="969" spans="1:26" s="29" customFormat="1" ht="21" customHeight="1" thickBot="1" x14ac:dyDescent="0.25">
      <c r="A969" s="5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1"/>
      <c r="N969" s="77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9"/>
    </row>
    <row r="970" spans="1:26" s="29" customFormat="1" ht="21" hidden="1" customHeight="1" thickBot="1" x14ac:dyDescent="0.25"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s="29" customFormat="1" ht="21.4" hidden="1" customHeight="1" x14ac:dyDescent="0.2">
      <c r="A971" s="463" t="s">
        <v>42</v>
      </c>
      <c r="B971" s="464"/>
      <c r="C971" s="464"/>
      <c r="D971" s="464"/>
      <c r="E971" s="464"/>
      <c r="F971" s="464"/>
      <c r="G971" s="464"/>
      <c r="H971" s="464"/>
      <c r="I971" s="464"/>
      <c r="J971" s="464"/>
      <c r="K971" s="464"/>
      <c r="L971" s="465"/>
      <c r="M971" s="28"/>
      <c r="N971" s="64"/>
      <c r="O971" s="469" t="s">
        <v>44</v>
      </c>
      <c r="P971" s="470"/>
      <c r="Q971" s="470"/>
      <c r="R971" s="471"/>
      <c r="S971" s="65"/>
      <c r="T971" s="469" t="s">
        <v>45</v>
      </c>
      <c r="U971" s="470"/>
      <c r="V971" s="470"/>
      <c r="W971" s="470"/>
      <c r="X971" s="470"/>
      <c r="Y971" s="471"/>
      <c r="Z971" s="63"/>
    </row>
    <row r="972" spans="1:26" s="29" customFormat="1" ht="21.4" hidden="1" customHeight="1" x14ac:dyDescent="0.2">
      <c r="A972" s="30"/>
      <c r="C972" s="466" t="s">
        <v>92</v>
      </c>
      <c r="D972" s="466"/>
      <c r="E972" s="466"/>
      <c r="F972" s="466"/>
      <c r="G972" s="31" t="str">
        <f>$J$1</f>
        <v>October</v>
      </c>
      <c r="H972" s="467">
        <f>$K$1</f>
        <v>2022</v>
      </c>
      <c r="I972" s="467"/>
      <c r="K972" s="32"/>
      <c r="L972" s="33"/>
      <c r="M972" s="32"/>
      <c r="N972" s="67"/>
      <c r="O972" s="68" t="s">
        <v>55</v>
      </c>
      <c r="P972" s="68" t="s">
        <v>7</v>
      </c>
      <c r="Q972" s="68" t="s">
        <v>6</v>
      </c>
      <c r="R972" s="68" t="s">
        <v>56</v>
      </c>
      <c r="S972" s="69"/>
      <c r="T972" s="68" t="s">
        <v>55</v>
      </c>
      <c r="U972" s="68" t="s">
        <v>57</v>
      </c>
      <c r="V972" s="68" t="s">
        <v>22</v>
      </c>
      <c r="W972" s="68" t="s">
        <v>21</v>
      </c>
      <c r="X972" s="68" t="s">
        <v>23</v>
      </c>
      <c r="Y972" s="68" t="s">
        <v>61</v>
      </c>
      <c r="Z972" s="63"/>
    </row>
    <row r="973" spans="1:26" s="29" customFormat="1" ht="21.4" hidden="1" customHeight="1" x14ac:dyDescent="0.2">
      <c r="A973" s="30"/>
      <c r="D973" s="35"/>
      <c r="E973" s="35"/>
      <c r="F973" s="35"/>
      <c r="G973" s="35"/>
      <c r="H973" s="35"/>
      <c r="J973" s="36" t="s">
        <v>1</v>
      </c>
      <c r="K973" s="37">
        <v>13000</v>
      </c>
      <c r="L973" s="38"/>
      <c r="N973" s="71"/>
      <c r="O973" s="72" t="s">
        <v>47</v>
      </c>
      <c r="P973" s="72"/>
      <c r="Q973" s="72">
        <v>0</v>
      </c>
      <c r="R973" s="72">
        <v>0</v>
      </c>
      <c r="S973" s="73"/>
      <c r="T973" s="72" t="s">
        <v>47</v>
      </c>
      <c r="U973" s="74"/>
      <c r="V973" s="74"/>
      <c r="W973" s="74">
        <f>V973+U973</f>
        <v>0</v>
      </c>
      <c r="X973" s="74"/>
      <c r="Y973" s="74">
        <f>W973-X973</f>
        <v>0</v>
      </c>
      <c r="Z973" s="63"/>
    </row>
    <row r="974" spans="1:26" s="29" customFormat="1" ht="21.4" hidden="1" customHeight="1" x14ac:dyDescent="0.2">
      <c r="A974" s="30"/>
      <c r="B974" s="29" t="s">
        <v>0</v>
      </c>
      <c r="C974" s="40" t="s">
        <v>183</v>
      </c>
      <c r="H974" s="41"/>
      <c r="I974" s="35"/>
      <c r="L974" s="42"/>
      <c r="M974" s="28"/>
      <c r="N974" s="75"/>
      <c r="O974" s="72" t="s">
        <v>73</v>
      </c>
      <c r="P974" s="72"/>
      <c r="Q974" s="72">
        <v>0</v>
      </c>
      <c r="R974" s="72">
        <v>0</v>
      </c>
      <c r="S974" s="63"/>
      <c r="T974" s="72" t="s">
        <v>73</v>
      </c>
      <c r="U974" s="109">
        <f>IF($J$1="April",Y973,Y973)</f>
        <v>0</v>
      </c>
      <c r="V974" s="74"/>
      <c r="W974" s="74">
        <f>V974+U974</f>
        <v>0</v>
      </c>
      <c r="X974" s="74"/>
      <c r="Y974" s="109">
        <f>IF(W974="","",W974-X974)</f>
        <v>0</v>
      </c>
      <c r="Z974" s="63"/>
    </row>
    <row r="975" spans="1:26" s="29" customFormat="1" ht="21.4" hidden="1" customHeight="1" x14ac:dyDescent="0.2">
      <c r="A975" s="30"/>
      <c r="B975" s="44" t="s">
        <v>43</v>
      </c>
      <c r="C975" s="62"/>
      <c r="F975" s="468" t="s">
        <v>45</v>
      </c>
      <c r="G975" s="468"/>
      <c r="I975" s="468" t="s">
        <v>46</v>
      </c>
      <c r="J975" s="468"/>
      <c r="K975" s="468"/>
      <c r="L975" s="46"/>
      <c r="N975" s="71"/>
      <c r="O975" s="72" t="s">
        <v>48</v>
      </c>
      <c r="P975" s="72"/>
      <c r="Q975" s="72"/>
      <c r="R975" s="72" t="str">
        <f>IF(Q975="","",R974-Q975)</f>
        <v/>
      </c>
      <c r="S975" s="63"/>
      <c r="T975" s="72" t="s">
        <v>48</v>
      </c>
      <c r="U975" s="109">
        <f>IF($J$1="April",Y974,Y974)</f>
        <v>0</v>
      </c>
      <c r="V975" s="74"/>
      <c r="W975" s="74">
        <f>V975+U975</f>
        <v>0</v>
      </c>
      <c r="X975" s="74"/>
      <c r="Y975" s="109">
        <f t="shared" ref="Y975:Y984" si="198">IF(W975="","",W975-X975)</f>
        <v>0</v>
      </c>
      <c r="Z975" s="63"/>
    </row>
    <row r="976" spans="1:26" s="29" customFormat="1" ht="21.4" hidden="1" customHeight="1" x14ac:dyDescent="0.2">
      <c r="A976" s="30"/>
      <c r="H976" s="47"/>
      <c r="L976" s="34"/>
      <c r="N976" s="71"/>
      <c r="O976" s="72" t="s">
        <v>49</v>
      </c>
      <c r="P976" s="72"/>
      <c r="Q976" s="72"/>
      <c r="R976" s="72">
        <v>0</v>
      </c>
      <c r="S976" s="63"/>
      <c r="T976" s="72" t="s">
        <v>49</v>
      </c>
      <c r="U976" s="109">
        <f>IF($J$1="April",Y975,Y975)</f>
        <v>0</v>
      </c>
      <c r="V976" s="74"/>
      <c r="W976" s="74">
        <f>V976+U976</f>
        <v>0</v>
      </c>
      <c r="X976" s="74"/>
      <c r="Y976" s="109">
        <f t="shared" si="198"/>
        <v>0</v>
      </c>
      <c r="Z976" s="63"/>
    </row>
    <row r="977" spans="1:26" s="29" customFormat="1" ht="21.4" hidden="1" customHeight="1" x14ac:dyDescent="0.2">
      <c r="A977" s="30"/>
      <c r="B977" s="472" t="s">
        <v>44</v>
      </c>
      <c r="C977" s="473"/>
      <c r="F977" s="48" t="s">
        <v>66</v>
      </c>
      <c r="G977" s="43">
        <f>IF($J$1="January",U973,IF($J$1="February",U974,IF($J$1="March",U975,IF($J$1="April",U976,IF($J$1="May",U977,IF($J$1="June",U978,IF($J$1="July",U979,IF($J$1="August",U980,IF($J$1="August",U980,IF($J$1="September",U981,IF($J$1="October",U982,IF($J$1="November",U983,IF($J$1="December",U984)))))))))))))</f>
        <v>0</v>
      </c>
      <c r="H977" s="47"/>
      <c r="I977" s="49">
        <f>IF(C981&gt;0,$K$2,C979)</f>
        <v>0</v>
      </c>
      <c r="J977" s="50" t="s">
        <v>63</v>
      </c>
      <c r="K977" s="51">
        <f>K973/$K$2*I977</f>
        <v>0</v>
      </c>
      <c r="L977" s="52"/>
      <c r="N977" s="71"/>
      <c r="O977" s="72" t="s">
        <v>50</v>
      </c>
      <c r="P977" s="72"/>
      <c r="Q977" s="72"/>
      <c r="R977" s="72">
        <v>0</v>
      </c>
      <c r="S977" s="63"/>
      <c r="T977" s="72" t="s">
        <v>50</v>
      </c>
      <c r="U977" s="109">
        <f>IF($J$1="May",Y976,Y976)</f>
        <v>0</v>
      </c>
      <c r="V977" s="74"/>
      <c r="W977" s="109">
        <f>V977</f>
        <v>0</v>
      </c>
      <c r="X977" s="74"/>
      <c r="Y977" s="109">
        <f t="shared" si="198"/>
        <v>0</v>
      </c>
      <c r="Z977" s="63"/>
    </row>
    <row r="978" spans="1:26" s="29" customFormat="1" ht="21.4" hidden="1" customHeight="1" x14ac:dyDescent="0.2">
      <c r="A978" s="30"/>
      <c r="B978" s="39"/>
      <c r="C978" s="39"/>
      <c r="F978" s="48" t="s">
        <v>22</v>
      </c>
      <c r="G978" s="43">
        <f>IF($J$1="January",V973,IF($J$1="February",V974,IF($J$1="March",V975,IF($J$1="April",V976,IF($J$1="May",V977,IF($J$1="June",V978,IF($J$1="July",V979,IF($J$1="August",V980,IF($J$1="August",V980,IF($J$1="September",V981,IF($J$1="October",V982,IF($J$1="November",V983,IF($J$1="December",V984)))))))))))))</f>
        <v>0</v>
      </c>
      <c r="H978" s="47"/>
      <c r="I978" s="84"/>
      <c r="J978" s="50" t="s">
        <v>64</v>
      </c>
      <c r="K978" s="53">
        <f>K973/$K$2/7*I978</f>
        <v>0</v>
      </c>
      <c r="L978" s="54"/>
      <c r="N978" s="71"/>
      <c r="O978" s="72" t="s">
        <v>51</v>
      </c>
      <c r="P978" s="72"/>
      <c r="Q978" s="72"/>
      <c r="R978" s="72">
        <v>0</v>
      </c>
      <c r="S978" s="63"/>
      <c r="T978" s="72" t="s">
        <v>51</v>
      </c>
      <c r="U978" s="109" t="str">
        <f>IF($J$1="June",Y977,"")</f>
        <v/>
      </c>
      <c r="V978" s="74"/>
      <c r="W978" s="109" t="str">
        <f t="shared" ref="W978:W984" si="199">IF(U978="","",U978+V978)</f>
        <v/>
      </c>
      <c r="X978" s="74"/>
      <c r="Y978" s="109" t="str">
        <f t="shared" si="198"/>
        <v/>
      </c>
      <c r="Z978" s="63"/>
    </row>
    <row r="979" spans="1:26" s="29" customFormat="1" ht="21.4" hidden="1" customHeight="1" x14ac:dyDescent="0.2">
      <c r="A979" s="30"/>
      <c r="B979" s="48" t="s">
        <v>7</v>
      </c>
      <c r="C979" s="39">
        <f>IF($J$1="January",P973,IF($J$1="February",P974,IF($J$1="March",P975,IF($J$1="April",P976,IF($J$1="May",P977,IF($J$1="June",P978,IF($J$1="July",P979,IF($J$1="August",P980,IF($J$1="August",P980,IF($J$1="September",P981,IF($J$1="October",P982,IF($J$1="November",P983,IF($J$1="December",P984)))))))))))))</f>
        <v>0</v>
      </c>
      <c r="F979" s="48" t="s">
        <v>67</v>
      </c>
      <c r="G979" s="43">
        <f>IF($J$1="January",W973,IF($J$1="February",W974,IF($J$1="March",W975,IF($J$1="April",W976,IF($J$1="May",W977,IF($J$1="June",W978,IF($J$1="July",W979,IF($J$1="August",W980,IF($J$1="August",W980,IF($J$1="September",W981,IF($J$1="October",W982,IF($J$1="November",W983,IF($J$1="December",W984)))))))))))))</f>
        <v>0</v>
      </c>
      <c r="H979" s="47"/>
      <c r="I979" s="456" t="s">
        <v>71</v>
      </c>
      <c r="J979" s="457"/>
      <c r="K979" s="53">
        <f>K977+K978</f>
        <v>0</v>
      </c>
      <c r="L979" s="54"/>
      <c r="N979" s="71"/>
      <c r="O979" s="72" t="s">
        <v>52</v>
      </c>
      <c r="P979" s="72"/>
      <c r="Q979" s="72"/>
      <c r="R979" s="72">
        <v>0</v>
      </c>
      <c r="S979" s="63"/>
      <c r="T979" s="72" t="s">
        <v>52</v>
      </c>
      <c r="U979" s="109" t="str">
        <f>Y978</f>
        <v/>
      </c>
      <c r="V979" s="74"/>
      <c r="W979" s="109">
        <f>V979</f>
        <v>0</v>
      </c>
      <c r="X979" s="74"/>
      <c r="Y979" s="109">
        <f t="shared" si="198"/>
        <v>0</v>
      </c>
      <c r="Z979" s="63"/>
    </row>
    <row r="980" spans="1:26" s="29" customFormat="1" ht="21.4" hidden="1" customHeight="1" x14ac:dyDescent="0.2">
      <c r="A980" s="30"/>
      <c r="B980" s="48" t="s">
        <v>6</v>
      </c>
      <c r="C980" s="39">
        <f>IF($J$1="January",Q973,IF($J$1="February",Q974,IF($J$1="March",Q975,IF($J$1="April",Q976,IF($J$1="May",Q977,IF($J$1="June",Q978,IF($J$1="July",Q979,IF($J$1="August",Q980,IF($J$1="August",Q980,IF($J$1="September",Q981,IF($J$1="October",Q982,IF($J$1="November",Q983,IF($J$1="December",Q984)))))))))))))</f>
        <v>0</v>
      </c>
      <c r="F980" s="48" t="s">
        <v>23</v>
      </c>
      <c r="G980" s="43">
        <f>IF($J$1="January",X973,IF($J$1="February",X974,IF($J$1="March",X975,IF($J$1="April",X976,IF($J$1="May",X977,IF($J$1="June",X978,IF($J$1="July",X979,IF($J$1="August",X980,IF($J$1="August",X980,IF($J$1="September",X981,IF($J$1="October",X982,IF($J$1="November",X983,IF($J$1="December",X984)))))))))))))</f>
        <v>0</v>
      </c>
      <c r="H980" s="47"/>
      <c r="I980" s="456" t="s">
        <v>72</v>
      </c>
      <c r="J980" s="457"/>
      <c r="K980" s="43">
        <f>G980</f>
        <v>0</v>
      </c>
      <c r="L980" s="55"/>
      <c r="N980" s="71"/>
      <c r="O980" s="72" t="s">
        <v>53</v>
      </c>
      <c r="P980" s="72"/>
      <c r="Q980" s="72"/>
      <c r="R980" s="72">
        <v>0</v>
      </c>
      <c r="S980" s="63"/>
      <c r="T980" s="72" t="s">
        <v>53</v>
      </c>
      <c r="U980" s="109">
        <f>Y979</f>
        <v>0</v>
      </c>
      <c r="V980" s="74"/>
      <c r="W980" s="109">
        <f t="shared" si="199"/>
        <v>0</v>
      </c>
      <c r="X980" s="74"/>
      <c r="Y980" s="109">
        <f t="shared" si="198"/>
        <v>0</v>
      </c>
      <c r="Z980" s="63"/>
    </row>
    <row r="981" spans="1:26" s="29" customFormat="1" ht="21.4" hidden="1" customHeight="1" x14ac:dyDescent="0.2">
      <c r="A981" s="30"/>
      <c r="B981" s="56" t="s">
        <v>70</v>
      </c>
      <c r="C981" s="39">
        <f>IF($J$1="January",R973,IF($J$1="February",R974,IF($J$1="March",R975,IF($J$1="April",R976,IF($J$1="May",R977,IF($J$1="June",R978,IF($J$1="July",R979,IF($J$1="August",R980,IF($J$1="August",R980,IF($J$1="September",R981,IF($J$1="October",R982,IF($J$1="November",R983,IF($J$1="December",R984)))))))))))))</f>
        <v>0</v>
      </c>
      <c r="F981" s="48" t="s">
        <v>69</v>
      </c>
      <c r="G981" s="43">
        <f>IF($J$1="January",Y973,IF($J$1="February",Y974,IF($J$1="March",Y975,IF($J$1="April",Y976,IF($J$1="May",Y977,IF($J$1="June",Y978,IF($J$1="July",Y979,IF($J$1="August",Y980,IF($J$1="August",Y980,IF($J$1="September",Y981,IF($J$1="October",Y982,IF($J$1="November",Y983,IF($J$1="December",Y984)))))))))))))</f>
        <v>0</v>
      </c>
      <c r="I981" s="458" t="s">
        <v>65</v>
      </c>
      <c r="J981" s="459"/>
      <c r="K981" s="57"/>
      <c r="L981" s="58"/>
      <c r="N981" s="71"/>
      <c r="O981" s="72" t="s">
        <v>58</v>
      </c>
      <c r="P981" s="72">
        <v>15</v>
      </c>
      <c r="Q981" s="72">
        <v>0</v>
      </c>
      <c r="R981" s="72">
        <v>0</v>
      </c>
      <c r="S981" s="63"/>
      <c r="T981" s="72" t="s">
        <v>58</v>
      </c>
      <c r="U981" s="109">
        <f>Y980</f>
        <v>0</v>
      </c>
      <c r="V981" s="74"/>
      <c r="W981" s="109">
        <f t="shared" si="199"/>
        <v>0</v>
      </c>
      <c r="X981" s="74"/>
      <c r="Y981" s="109">
        <f t="shared" si="198"/>
        <v>0</v>
      </c>
      <c r="Z981" s="63"/>
    </row>
    <row r="982" spans="1:26" s="29" customFormat="1" ht="21.4" hidden="1" customHeight="1" x14ac:dyDescent="0.2">
      <c r="A982" s="30"/>
      <c r="L982" s="46"/>
      <c r="N982" s="71"/>
      <c r="O982" s="72" t="s">
        <v>54</v>
      </c>
      <c r="P982" s="72"/>
      <c r="Q982" s="72"/>
      <c r="R982" s="72">
        <v>0</v>
      </c>
      <c r="S982" s="63"/>
      <c r="T982" s="72" t="s">
        <v>54</v>
      </c>
      <c r="U982" s="109">
        <f>Y981</f>
        <v>0</v>
      </c>
      <c r="V982" s="74"/>
      <c r="W982" s="109">
        <f t="shared" si="199"/>
        <v>0</v>
      </c>
      <c r="X982" s="74"/>
      <c r="Y982" s="109">
        <f t="shared" si="198"/>
        <v>0</v>
      </c>
      <c r="Z982" s="63"/>
    </row>
    <row r="983" spans="1:26" s="29" customFormat="1" ht="21.4" hidden="1" customHeight="1" x14ac:dyDescent="0.2">
      <c r="A983" s="30"/>
      <c r="B983" s="455" t="s">
        <v>94</v>
      </c>
      <c r="C983" s="455"/>
      <c r="D983" s="455"/>
      <c r="E983" s="455"/>
      <c r="F983" s="455"/>
      <c r="G983" s="455"/>
      <c r="H983" s="455"/>
      <c r="I983" s="455"/>
      <c r="J983" s="455"/>
      <c r="K983" s="455"/>
      <c r="L983" s="46"/>
      <c r="N983" s="71"/>
      <c r="O983" s="72" t="s">
        <v>59</v>
      </c>
      <c r="P983" s="72"/>
      <c r="Q983" s="72"/>
      <c r="R983" s="72">
        <v>0</v>
      </c>
      <c r="S983" s="63"/>
      <c r="T983" s="72" t="s">
        <v>59</v>
      </c>
      <c r="U983" s="109"/>
      <c r="V983" s="74"/>
      <c r="W983" s="109" t="str">
        <f t="shared" si="199"/>
        <v/>
      </c>
      <c r="X983" s="74"/>
      <c r="Y983" s="109" t="str">
        <f t="shared" si="198"/>
        <v/>
      </c>
      <c r="Z983" s="63"/>
    </row>
    <row r="984" spans="1:26" s="29" customFormat="1" ht="21.4" hidden="1" customHeight="1" x14ac:dyDescent="0.2">
      <c r="A984" s="30"/>
      <c r="B984" s="455"/>
      <c r="C984" s="455"/>
      <c r="D984" s="455"/>
      <c r="E984" s="455"/>
      <c r="F984" s="455"/>
      <c r="G984" s="455"/>
      <c r="H984" s="455"/>
      <c r="I984" s="455"/>
      <c r="J984" s="455"/>
      <c r="K984" s="455"/>
      <c r="L984" s="46"/>
      <c r="N984" s="71"/>
      <c r="O984" s="72" t="s">
        <v>60</v>
      </c>
      <c r="P984" s="72"/>
      <c r="Q984" s="72"/>
      <c r="R984" s="72" t="str">
        <f>IF(Q984="","",R983-Q984)</f>
        <v/>
      </c>
      <c r="S984" s="63"/>
      <c r="T984" s="72" t="s">
        <v>60</v>
      </c>
      <c r="U984" s="109"/>
      <c r="V984" s="74"/>
      <c r="W984" s="109" t="str">
        <f t="shared" si="199"/>
        <v/>
      </c>
      <c r="X984" s="74"/>
      <c r="Y984" s="109" t="str">
        <f t="shared" si="198"/>
        <v/>
      </c>
      <c r="Z984" s="63"/>
    </row>
    <row r="985" spans="1:26" s="29" customFormat="1" ht="21.4" hidden="1" customHeight="1" thickBot="1" x14ac:dyDescent="0.25">
      <c r="A985" s="5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1"/>
      <c r="N985" s="77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63"/>
    </row>
    <row r="986" spans="1:26" s="29" customFormat="1" ht="21" hidden="1" customHeight="1" x14ac:dyDescent="0.2">
      <c r="A986" s="463" t="s">
        <v>42</v>
      </c>
      <c r="B986" s="464"/>
      <c r="C986" s="464"/>
      <c r="D986" s="464"/>
      <c r="E986" s="464"/>
      <c r="F986" s="464"/>
      <c r="G986" s="464"/>
      <c r="H986" s="464"/>
      <c r="I986" s="464"/>
      <c r="J986" s="464"/>
      <c r="K986" s="464"/>
      <c r="L986" s="465"/>
      <c r="M986" s="28"/>
      <c r="N986" s="64"/>
      <c r="O986" s="469" t="s">
        <v>44</v>
      </c>
      <c r="P986" s="470"/>
      <c r="Q986" s="470"/>
      <c r="R986" s="471"/>
      <c r="S986" s="65"/>
      <c r="T986" s="469" t="s">
        <v>45</v>
      </c>
      <c r="U986" s="470"/>
      <c r="V986" s="470"/>
      <c r="W986" s="470"/>
      <c r="X986" s="470"/>
      <c r="Y986" s="471"/>
      <c r="Z986" s="63"/>
    </row>
    <row r="987" spans="1:26" s="29" customFormat="1" ht="21" hidden="1" customHeight="1" x14ac:dyDescent="0.2">
      <c r="A987" s="30"/>
      <c r="C987" s="466" t="s">
        <v>92</v>
      </c>
      <c r="D987" s="466"/>
      <c r="E987" s="466"/>
      <c r="F987" s="466"/>
      <c r="G987" s="31" t="str">
        <f>$J$1</f>
        <v>October</v>
      </c>
      <c r="H987" s="467">
        <f>$K$1</f>
        <v>2022</v>
      </c>
      <c r="I987" s="467"/>
      <c r="K987" s="32"/>
      <c r="L987" s="33"/>
      <c r="M987" s="32"/>
      <c r="N987" s="67"/>
      <c r="O987" s="68" t="s">
        <v>55</v>
      </c>
      <c r="P987" s="68" t="s">
        <v>7</v>
      </c>
      <c r="Q987" s="68" t="s">
        <v>6</v>
      </c>
      <c r="R987" s="68" t="s">
        <v>56</v>
      </c>
      <c r="S987" s="69"/>
      <c r="T987" s="68" t="s">
        <v>55</v>
      </c>
      <c r="U987" s="68" t="s">
        <v>57</v>
      </c>
      <c r="V987" s="68" t="s">
        <v>22</v>
      </c>
      <c r="W987" s="68" t="s">
        <v>21</v>
      </c>
      <c r="X987" s="68" t="s">
        <v>23</v>
      </c>
      <c r="Y987" s="68" t="s">
        <v>61</v>
      </c>
      <c r="Z987" s="63"/>
    </row>
    <row r="988" spans="1:26" s="29" customFormat="1" ht="21" hidden="1" customHeight="1" x14ac:dyDescent="0.2">
      <c r="A988" s="30"/>
      <c r="D988" s="35"/>
      <c r="E988" s="35"/>
      <c r="F988" s="35"/>
      <c r="G988" s="35"/>
      <c r="H988" s="35"/>
      <c r="J988" s="36" t="s">
        <v>1</v>
      </c>
      <c r="K988" s="37"/>
      <c r="L988" s="38"/>
      <c r="N988" s="71"/>
      <c r="O988" s="72" t="s">
        <v>47</v>
      </c>
      <c r="P988" s="72"/>
      <c r="Q988" s="72"/>
      <c r="R988" s="72">
        <v>0</v>
      </c>
      <c r="S988" s="73"/>
      <c r="T988" s="72" t="s">
        <v>47</v>
      </c>
      <c r="U988" s="74"/>
      <c r="V988" s="74"/>
      <c r="W988" s="74">
        <f>V988+U988</f>
        <v>0</v>
      </c>
      <c r="X988" s="74"/>
      <c r="Y988" s="74">
        <f>W988-X988</f>
        <v>0</v>
      </c>
      <c r="Z988" s="63"/>
    </row>
    <row r="989" spans="1:26" s="29" customFormat="1" ht="21" hidden="1" customHeight="1" x14ac:dyDescent="0.2">
      <c r="A989" s="30"/>
      <c r="B989" s="29" t="s">
        <v>0</v>
      </c>
      <c r="C989" s="40"/>
      <c r="H989" s="41"/>
      <c r="I989" s="35"/>
      <c r="L989" s="42"/>
      <c r="M989" s="28"/>
      <c r="N989" s="75"/>
      <c r="O989" s="72" t="s">
        <v>73</v>
      </c>
      <c r="P989" s="72"/>
      <c r="Q989" s="72"/>
      <c r="R989" s="72" t="str">
        <f>IF(Q989="","",R988-Q989)</f>
        <v/>
      </c>
      <c r="S989" s="63"/>
      <c r="T989" s="72" t="s">
        <v>73</v>
      </c>
      <c r="U989" s="109">
        <f>IF($J$1="January","",Y988)</f>
        <v>0</v>
      </c>
      <c r="V989" s="74"/>
      <c r="W989" s="109">
        <f>IF(U989="","",U989+V989)</f>
        <v>0</v>
      </c>
      <c r="X989" s="74"/>
      <c r="Y989" s="109">
        <f>IF(W989="","",W989-X989)</f>
        <v>0</v>
      </c>
      <c r="Z989" s="63"/>
    </row>
    <row r="990" spans="1:26" s="29" customFormat="1" ht="21" hidden="1" customHeight="1" x14ac:dyDescent="0.2">
      <c r="A990" s="30"/>
      <c r="B990" s="44" t="s">
        <v>43</v>
      </c>
      <c r="C990" s="45"/>
      <c r="F990" s="468" t="s">
        <v>45</v>
      </c>
      <c r="G990" s="468"/>
      <c r="I990" s="468" t="s">
        <v>46</v>
      </c>
      <c r="J990" s="468"/>
      <c r="K990" s="468"/>
      <c r="L990" s="46"/>
      <c r="N990" s="71"/>
      <c r="O990" s="72" t="s">
        <v>48</v>
      </c>
      <c r="P990" s="72"/>
      <c r="Q990" s="72"/>
      <c r="R990" s="72" t="str">
        <f t="shared" ref="R990:R996" si="200">IF(Q990="","",R989-Q990)</f>
        <v/>
      </c>
      <c r="S990" s="63"/>
      <c r="T990" s="72" t="s">
        <v>48</v>
      </c>
      <c r="U990" s="109">
        <f>IF($J$1="February","",Y989)</f>
        <v>0</v>
      </c>
      <c r="V990" s="74"/>
      <c r="W990" s="109">
        <f t="shared" ref="W990:W999" si="201">IF(U990="","",U990+V990)</f>
        <v>0</v>
      </c>
      <c r="X990" s="74"/>
      <c r="Y990" s="109">
        <f t="shared" ref="Y990:Y999" si="202">IF(W990="","",W990-X990)</f>
        <v>0</v>
      </c>
      <c r="Z990" s="63"/>
    </row>
    <row r="991" spans="1:26" s="29" customFormat="1" ht="21" hidden="1" customHeight="1" x14ac:dyDescent="0.2">
      <c r="A991" s="30"/>
      <c r="H991" s="47"/>
      <c r="L991" s="34"/>
      <c r="N991" s="71"/>
      <c r="O991" s="72" t="s">
        <v>49</v>
      </c>
      <c r="P991" s="72"/>
      <c r="Q991" s="72"/>
      <c r="R991" s="72">
        <v>0</v>
      </c>
      <c r="S991" s="63"/>
      <c r="T991" s="72" t="s">
        <v>49</v>
      </c>
      <c r="U991" s="109">
        <f>IF($J$1="March","",Y990)</f>
        <v>0</v>
      </c>
      <c r="V991" s="74"/>
      <c r="W991" s="109">
        <f t="shared" si="201"/>
        <v>0</v>
      </c>
      <c r="X991" s="74"/>
      <c r="Y991" s="109">
        <f t="shared" si="202"/>
        <v>0</v>
      </c>
      <c r="Z991" s="63"/>
    </row>
    <row r="992" spans="1:26" s="29" customFormat="1" ht="21" hidden="1" customHeight="1" x14ac:dyDescent="0.2">
      <c r="A992" s="30"/>
      <c r="B992" s="472" t="s">
        <v>44</v>
      </c>
      <c r="C992" s="473"/>
      <c r="F992" s="48" t="s">
        <v>66</v>
      </c>
      <c r="G992" s="43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7"/>
      <c r="I992" s="49">
        <f>IF(C996&gt;0,$K$2,C994)</f>
        <v>0</v>
      </c>
      <c r="J992" s="50" t="s">
        <v>63</v>
      </c>
      <c r="K992" s="51">
        <f>K988/$K$2*I992</f>
        <v>0</v>
      </c>
      <c r="L992" s="52"/>
      <c r="N992" s="71"/>
      <c r="O992" s="72" t="s">
        <v>50</v>
      </c>
      <c r="P992" s="72"/>
      <c r="Q992" s="72"/>
      <c r="R992" s="72">
        <v>0</v>
      </c>
      <c r="S992" s="63"/>
      <c r="T992" s="72" t="s">
        <v>50</v>
      </c>
      <c r="U992" s="109">
        <f>IF($J$1="April","",Y991)</f>
        <v>0</v>
      </c>
      <c r="V992" s="74"/>
      <c r="W992" s="109">
        <f t="shared" si="201"/>
        <v>0</v>
      </c>
      <c r="X992" s="74"/>
      <c r="Y992" s="109">
        <f t="shared" si="202"/>
        <v>0</v>
      </c>
      <c r="Z992" s="63"/>
    </row>
    <row r="993" spans="1:27" s="29" customFormat="1" ht="21" hidden="1" customHeight="1" x14ac:dyDescent="0.2">
      <c r="A993" s="30"/>
      <c r="B993" s="39"/>
      <c r="C993" s="39"/>
      <c r="F993" s="48" t="s">
        <v>22</v>
      </c>
      <c r="G993" s="43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7"/>
      <c r="I993" s="84"/>
      <c r="J993" s="50" t="s">
        <v>64</v>
      </c>
      <c r="K993" s="53">
        <f>K988/$K$2/8*I993</f>
        <v>0</v>
      </c>
      <c r="L993" s="54"/>
      <c r="N993" s="71"/>
      <c r="O993" s="72" t="s">
        <v>51</v>
      </c>
      <c r="P993" s="72"/>
      <c r="Q993" s="72"/>
      <c r="R993" s="72">
        <v>0</v>
      </c>
      <c r="S993" s="63"/>
      <c r="T993" s="72" t="s">
        <v>51</v>
      </c>
      <c r="U993" s="109">
        <f>IF($J$1="May","",Y992)</f>
        <v>0</v>
      </c>
      <c r="V993" s="74"/>
      <c r="W993" s="109">
        <f t="shared" si="201"/>
        <v>0</v>
      </c>
      <c r="X993" s="74"/>
      <c r="Y993" s="109">
        <f t="shared" si="202"/>
        <v>0</v>
      </c>
      <c r="Z993" s="63"/>
    </row>
    <row r="994" spans="1:27" s="29" customFormat="1" ht="21" hidden="1" customHeight="1" x14ac:dyDescent="0.2">
      <c r="A994" s="30"/>
      <c r="B994" s="48" t="s">
        <v>7</v>
      </c>
      <c r="C994" s="39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F994" s="48" t="s">
        <v>67</v>
      </c>
      <c r="G994" s="43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7"/>
      <c r="I994" s="456" t="s">
        <v>71</v>
      </c>
      <c r="J994" s="457"/>
      <c r="K994" s="53">
        <f>K992+K993</f>
        <v>0</v>
      </c>
      <c r="L994" s="54"/>
      <c r="N994" s="71"/>
      <c r="O994" s="72" t="s">
        <v>52</v>
      </c>
      <c r="P994" s="72"/>
      <c r="Q994" s="72"/>
      <c r="R994" s="72">
        <v>0</v>
      </c>
      <c r="S994" s="63"/>
      <c r="T994" s="72" t="s">
        <v>52</v>
      </c>
      <c r="U994" s="109">
        <f>IF($J$1="June","",Y993)</f>
        <v>0</v>
      </c>
      <c r="V994" s="74"/>
      <c r="W994" s="109">
        <f t="shared" si="201"/>
        <v>0</v>
      </c>
      <c r="X994" s="74"/>
      <c r="Y994" s="109">
        <f t="shared" si="202"/>
        <v>0</v>
      </c>
      <c r="Z994" s="63"/>
    </row>
    <row r="995" spans="1:27" s="29" customFormat="1" ht="21" hidden="1" customHeight="1" x14ac:dyDescent="0.2">
      <c r="A995" s="30"/>
      <c r="B995" s="48" t="s">
        <v>6</v>
      </c>
      <c r="C995" s="39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F995" s="48" t="s">
        <v>23</v>
      </c>
      <c r="G995" s="43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7"/>
      <c r="I995" s="456" t="s">
        <v>72</v>
      </c>
      <c r="J995" s="457"/>
      <c r="K995" s="43">
        <f>G995</f>
        <v>0</v>
      </c>
      <c r="L995" s="55"/>
      <c r="N995" s="71"/>
      <c r="O995" s="72" t="s">
        <v>53</v>
      </c>
      <c r="P995" s="72"/>
      <c r="Q995" s="72"/>
      <c r="R995" s="72" t="str">
        <f t="shared" si="200"/>
        <v/>
      </c>
      <c r="S995" s="63"/>
      <c r="T995" s="72" t="s">
        <v>53</v>
      </c>
      <c r="U995" s="109">
        <f>IF($J$1="July","",Y994)</f>
        <v>0</v>
      </c>
      <c r="V995" s="74"/>
      <c r="W995" s="109">
        <f t="shared" si="201"/>
        <v>0</v>
      </c>
      <c r="X995" s="74"/>
      <c r="Y995" s="109">
        <f t="shared" si="202"/>
        <v>0</v>
      </c>
      <c r="Z995" s="63"/>
    </row>
    <row r="996" spans="1:27" s="29" customFormat="1" ht="21" hidden="1" customHeight="1" x14ac:dyDescent="0.2">
      <c r="A996" s="30"/>
      <c r="B996" s="56" t="s">
        <v>70</v>
      </c>
      <c r="C996" s="39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F996" s="48" t="s">
        <v>69</v>
      </c>
      <c r="G996" s="43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I996" s="468" t="s">
        <v>65</v>
      </c>
      <c r="J996" s="468"/>
      <c r="K996" s="57">
        <f>K994-K995</f>
        <v>0</v>
      </c>
      <c r="L996" s="58"/>
      <c r="N996" s="71"/>
      <c r="O996" s="72" t="s">
        <v>58</v>
      </c>
      <c r="P996" s="72"/>
      <c r="Q996" s="72"/>
      <c r="R996" s="72" t="str">
        <f t="shared" si="200"/>
        <v/>
      </c>
      <c r="S996" s="63"/>
      <c r="T996" s="72" t="s">
        <v>58</v>
      </c>
      <c r="U996" s="109">
        <f>IF($J$1="August","",Y995)</f>
        <v>0</v>
      </c>
      <c r="V996" s="74"/>
      <c r="W996" s="109">
        <f t="shared" si="201"/>
        <v>0</v>
      </c>
      <c r="X996" s="74"/>
      <c r="Y996" s="109">
        <f t="shared" si="202"/>
        <v>0</v>
      </c>
      <c r="Z996" s="63"/>
    </row>
    <row r="997" spans="1:27" s="29" customFormat="1" ht="21" hidden="1" customHeight="1" x14ac:dyDescent="0.2">
      <c r="A997" s="30"/>
      <c r="I997" s="509"/>
      <c r="J997" s="509"/>
      <c r="K997" s="47"/>
      <c r="L997" s="46"/>
      <c r="N997" s="71"/>
      <c r="O997" s="72" t="s">
        <v>54</v>
      </c>
      <c r="P997" s="72"/>
      <c r="Q997" s="72"/>
      <c r="R997" s="72">
        <v>0</v>
      </c>
      <c r="S997" s="63"/>
      <c r="T997" s="72" t="s">
        <v>54</v>
      </c>
      <c r="U997" s="109">
        <f>IF($J$1="September","",Y996)</f>
        <v>0</v>
      </c>
      <c r="V997" s="74"/>
      <c r="W997" s="109">
        <f t="shared" si="201"/>
        <v>0</v>
      </c>
      <c r="X997" s="74"/>
      <c r="Y997" s="109">
        <f t="shared" si="202"/>
        <v>0</v>
      </c>
      <c r="Z997" s="63"/>
    </row>
    <row r="998" spans="1:27" s="29" customFormat="1" ht="21" hidden="1" customHeight="1" x14ac:dyDescent="0.35">
      <c r="A998" s="30"/>
      <c r="B998" s="128"/>
      <c r="C998" s="128"/>
      <c r="D998" s="128"/>
      <c r="E998" s="128"/>
      <c r="F998" s="128"/>
      <c r="G998" s="128"/>
      <c r="H998" s="128"/>
      <c r="I998" s="509"/>
      <c r="J998" s="509"/>
      <c r="K998" s="129"/>
      <c r="L998" s="46"/>
      <c r="N998" s="71"/>
      <c r="O998" s="72" t="s">
        <v>59</v>
      </c>
      <c r="P998" s="72"/>
      <c r="Q998" s="72"/>
      <c r="R998" s="72">
        <v>0</v>
      </c>
      <c r="S998" s="63"/>
      <c r="T998" s="72" t="s">
        <v>59</v>
      </c>
      <c r="U998" s="109" t="str">
        <f>IF($J$1="October","",Y997)</f>
        <v/>
      </c>
      <c r="V998" s="74"/>
      <c r="W998" s="109" t="str">
        <f t="shared" si="201"/>
        <v/>
      </c>
      <c r="X998" s="74"/>
      <c r="Y998" s="109" t="str">
        <f t="shared" si="202"/>
        <v/>
      </c>
      <c r="Z998" s="63"/>
    </row>
    <row r="999" spans="1:27" s="29" customFormat="1" ht="21" hidden="1" customHeight="1" x14ac:dyDescent="0.35">
      <c r="A999" s="30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46"/>
      <c r="N999" s="71"/>
      <c r="O999" s="72" t="s">
        <v>60</v>
      </c>
      <c r="P999" s="72"/>
      <c r="Q999" s="72"/>
      <c r="R999" s="72">
        <v>0</v>
      </c>
      <c r="S999" s="63"/>
      <c r="T999" s="72" t="s">
        <v>60</v>
      </c>
      <c r="U999" s="109" t="str">
        <f>IF($J$1="November","",Y998)</f>
        <v/>
      </c>
      <c r="V999" s="74"/>
      <c r="W999" s="109" t="str">
        <f t="shared" si="201"/>
        <v/>
      </c>
      <c r="X999" s="74"/>
      <c r="Y999" s="109" t="str">
        <f t="shared" si="202"/>
        <v/>
      </c>
      <c r="Z999" s="63"/>
    </row>
    <row r="1000" spans="1:27" s="29" customFormat="1" ht="21" hidden="1" customHeight="1" thickBot="1" x14ac:dyDescent="0.25">
      <c r="A1000" s="59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1"/>
      <c r="N1000" s="77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63"/>
    </row>
    <row r="1001" spans="1:27" s="29" customFormat="1" ht="21" hidden="1" customHeight="1" thickBot="1" x14ac:dyDescent="0.25"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 spans="1:27" s="29" customFormat="1" ht="21" hidden="1" customHeight="1" x14ac:dyDescent="0.2">
      <c r="A1002" s="460" t="s">
        <v>42</v>
      </c>
      <c r="B1002" s="461"/>
      <c r="C1002" s="461"/>
      <c r="D1002" s="461"/>
      <c r="E1002" s="461"/>
      <c r="F1002" s="461"/>
      <c r="G1002" s="461"/>
      <c r="H1002" s="461"/>
      <c r="I1002" s="461"/>
      <c r="J1002" s="461"/>
      <c r="K1002" s="461"/>
      <c r="L1002" s="462"/>
      <c r="M1002" s="28"/>
      <c r="N1002" s="64"/>
      <c r="O1002" s="469" t="s">
        <v>44</v>
      </c>
      <c r="P1002" s="470"/>
      <c r="Q1002" s="470"/>
      <c r="R1002" s="471"/>
      <c r="S1002" s="65"/>
      <c r="T1002" s="469" t="s">
        <v>45</v>
      </c>
      <c r="U1002" s="470"/>
      <c r="V1002" s="470"/>
      <c r="W1002" s="470"/>
      <c r="X1002" s="470"/>
      <c r="Y1002" s="471"/>
      <c r="Z1002" s="66"/>
      <c r="AA1002" s="28"/>
    </row>
    <row r="1003" spans="1:27" s="29" customFormat="1" ht="21" hidden="1" customHeight="1" x14ac:dyDescent="0.2">
      <c r="A1003" s="30"/>
      <c r="C1003" s="466" t="s">
        <v>92</v>
      </c>
      <c r="D1003" s="466"/>
      <c r="E1003" s="466"/>
      <c r="F1003" s="466"/>
      <c r="G1003" s="31" t="str">
        <f>$J$1</f>
        <v>October</v>
      </c>
      <c r="H1003" s="467">
        <f>$K$1</f>
        <v>2022</v>
      </c>
      <c r="I1003" s="467"/>
      <c r="K1003" s="32"/>
      <c r="L1003" s="33"/>
      <c r="M1003" s="32"/>
      <c r="N1003" s="67"/>
      <c r="O1003" s="68" t="s">
        <v>55</v>
      </c>
      <c r="P1003" s="68" t="s">
        <v>7</v>
      </c>
      <c r="Q1003" s="68" t="s">
        <v>6</v>
      </c>
      <c r="R1003" s="68" t="s">
        <v>56</v>
      </c>
      <c r="S1003" s="69"/>
      <c r="T1003" s="68" t="s">
        <v>55</v>
      </c>
      <c r="U1003" s="68" t="s">
        <v>57</v>
      </c>
      <c r="V1003" s="68" t="s">
        <v>22</v>
      </c>
      <c r="W1003" s="68" t="s">
        <v>21</v>
      </c>
      <c r="X1003" s="68" t="s">
        <v>23</v>
      </c>
      <c r="Y1003" s="68" t="s">
        <v>61</v>
      </c>
      <c r="Z1003" s="70"/>
      <c r="AA1003" s="32"/>
    </row>
    <row r="1004" spans="1:27" s="29" customFormat="1" ht="21" hidden="1" customHeight="1" x14ac:dyDescent="0.2">
      <c r="A1004" s="30"/>
      <c r="D1004" s="35"/>
      <c r="E1004" s="35"/>
      <c r="F1004" s="35"/>
      <c r="G1004" s="35"/>
      <c r="H1004" s="35"/>
      <c r="J1004" s="36" t="s">
        <v>1</v>
      </c>
      <c r="K1004" s="37">
        <v>24000</v>
      </c>
      <c r="L1004" s="38"/>
      <c r="N1004" s="71"/>
      <c r="O1004" s="72" t="s">
        <v>47</v>
      </c>
      <c r="P1004" s="72">
        <v>30</v>
      </c>
      <c r="Q1004" s="72">
        <v>1</v>
      </c>
      <c r="R1004" s="72">
        <f>15-Q1004</f>
        <v>14</v>
      </c>
      <c r="S1004" s="73"/>
      <c r="T1004" s="72" t="s">
        <v>47</v>
      </c>
      <c r="U1004" s="74">
        <v>2500</v>
      </c>
      <c r="V1004" s="74">
        <f>10000+7500</f>
        <v>17500</v>
      </c>
      <c r="W1004" s="74">
        <f>V1004+U1004</f>
        <v>20000</v>
      </c>
      <c r="X1004" s="74">
        <v>5000</v>
      </c>
      <c r="Y1004" s="74">
        <f>W1004-X1004</f>
        <v>15000</v>
      </c>
      <c r="Z1004" s="70"/>
    </row>
    <row r="1005" spans="1:27" s="29" customFormat="1" ht="21" hidden="1" customHeight="1" x14ac:dyDescent="0.2">
      <c r="A1005" s="30"/>
      <c r="B1005" s="29" t="s">
        <v>0</v>
      </c>
      <c r="C1005" s="40" t="s">
        <v>89</v>
      </c>
      <c r="H1005" s="41"/>
      <c r="I1005" s="35"/>
      <c r="L1005" s="42"/>
      <c r="M1005" s="28"/>
      <c r="N1005" s="75"/>
      <c r="O1005" s="72" t="s">
        <v>73</v>
      </c>
      <c r="P1005" s="72">
        <v>27</v>
      </c>
      <c r="Q1005" s="72">
        <v>1</v>
      </c>
      <c r="R1005" s="72">
        <f t="shared" ref="R1005:R1012" si="203">IF(Q1005="","",R1004-Q1005)</f>
        <v>13</v>
      </c>
      <c r="S1005" s="63"/>
      <c r="T1005" s="72" t="s">
        <v>73</v>
      </c>
      <c r="U1005" s="109">
        <f>Y1004</f>
        <v>15000</v>
      </c>
      <c r="V1005" s="74"/>
      <c r="W1005" s="109">
        <f>IF(U1005="","",U1005+V1005)</f>
        <v>15000</v>
      </c>
      <c r="X1005" s="74">
        <v>5000</v>
      </c>
      <c r="Y1005" s="109">
        <f>IF(W1005="","",W1005-X1005)</f>
        <v>10000</v>
      </c>
      <c r="Z1005" s="76"/>
      <c r="AA1005" s="28"/>
    </row>
    <row r="1006" spans="1:27" s="29" customFormat="1" ht="21" hidden="1" customHeight="1" x14ac:dyDescent="0.2">
      <c r="A1006" s="30"/>
      <c r="B1006" s="44" t="s">
        <v>43</v>
      </c>
      <c r="C1006" s="45"/>
      <c r="F1006" s="468" t="s">
        <v>45</v>
      </c>
      <c r="G1006" s="468"/>
      <c r="I1006" s="468" t="s">
        <v>46</v>
      </c>
      <c r="J1006" s="468"/>
      <c r="K1006" s="468"/>
      <c r="L1006" s="46"/>
      <c r="N1006" s="71"/>
      <c r="O1006" s="72" t="s">
        <v>48</v>
      </c>
      <c r="P1006" s="72">
        <v>31</v>
      </c>
      <c r="Q1006" s="72">
        <v>0</v>
      </c>
      <c r="R1006" s="72">
        <f t="shared" si="203"/>
        <v>13</v>
      </c>
      <c r="S1006" s="63"/>
      <c r="T1006" s="72" t="s">
        <v>48</v>
      </c>
      <c r="U1006" s="109">
        <f>IF($J$1="February","",Y1005)</f>
        <v>10000</v>
      </c>
      <c r="V1006" s="74"/>
      <c r="W1006" s="109">
        <f t="shared" ref="W1006:W1015" si="204">IF(U1006="","",U1006+V1006)</f>
        <v>10000</v>
      </c>
      <c r="X1006" s="74"/>
      <c r="Y1006" s="109">
        <f t="shared" ref="Y1006:Y1015" si="205">IF(W1006="","",W1006-X1006)</f>
        <v>10000</v>
      </c>
      <c r="Z1006" s="76"/>
    </row>
    <row r="1007" spans="1:27" s="29" customFormat="1" ht="21" hidden="1" customHeight="1" x14ac:dyDescent="0.2">
      <c r="A1007" s="30"/>
      <c r="H1007" s="47"/>
      <c r="L1007" s="34"/>
      <c r="N1007" s="71"/>
      <c r="O1007" s="72" t="s">
        <v>49</v>
      </c>
      <c r="P1007" s="72">
        <v>28</v>
      </c>
      <c r="Q1007" s="72">
        <v>2</v>
      </c>
      <c r="R1007" s="72">
        <f t="shared" si="203"/>
        <v>11</v>
      </c>
      <c r="S1007" s="63"/>
      <c r="T1007" s="72" t="s">
        <v>49</v>
      </c>
      <c r="U1007" s="109">
        <f>IF($J$1="March","",Y1006)</f>
        <v>10000</v>
      </c>
      <c r="V1007" s="74"/>
      <c r="W1007" s="109">
        <f t="shared" si="204"/>
        <v>10000</v>
      </c>
      <c r="X1007" s="74">
        <v>5000</v>
      </c>
      <c r="Y1007" s="109">
        <f t="shared" si="205"/>
        <v>5000</v>
      </c>
      <c r="Z1007" s="76"/>
    </row>
    <row r="1008" spans="1:27" s="29" customFormat="1" ht="21" hidden="1" customHeight="1" x14ac:dyDescent="0.2">
      <c r="A1008" s="30"/>
      <c r="B1008" s="472" t="s">
        <v>44</v>
      </c>
      <c r="C1008" s="473"/>
      <c r="F1008" s="48" t="s">
        <v>66</v>
      </c>
      <c r="G1008" s="43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7"/>
      <c r="I1008" s="344">
        <f>IF(C1012&gt;0,$K$2,C1010)+1</f>
        <v>1</v>
      </c>
      <c r="J1008" s="50" t="s">
        <v>63</v>
      </c>
      <c r="K1008" s="51">
        <f>K1004/$K$2*I1008</f>
        <v>774.19354838709683</v>
      </c>
      <c r="L1008" s="52"/>
      <c r="N1008" s="71"/>
      <c r="O1008" s="72" t="s">
        <v>50</v>
      </c>
      <c r="P1008" s="72">
        <v>31</v>
      </c>
      <c r="Q1008" s="72">
        <v>0</v>
      </c>
      <c r="R1008" s="72">
        <f t="shared" si="203"/>
        <v>11</v>
      </c>
      <c r="S1008" s="63"/>
      <c r="T1008" s="72" t="s">
        <v>50</v>
      </c>
      <c r="U1008" s="109">
        <f>Y1007</f>
        <v>5000</v>
      </c>
      <c r="V1008" s="74"/>
      <c r="W1008" s="109">
        <f t="shared" si="204"/>
        <v>5000</v>
      </c>
      <c r="X1008" s="74">
        <v>5000</v>
      </c>
      <c r="Y1008" s="109">
        <f t="shared" si="205"/>
        <v>0</v>
      </c>
      <c r="Z1008" s="76"/>
    </row>
    <row r="1009" spans="1:26" s="29" customFormat="1" ht="21" hidden="1" customHeight="1" x14ac:dyDescent="0.2">
      <c r="A1009" s="30"/>
      <c r="B1009" s="39"/>
      <c r="C1009" s="39"/>
      <c r="F1009" s="48" t="s">
        <v>22</v>
      </c>
      <c r="G1009" s="43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7"/>
      <c r="I1009" s="84">
        <v>18</v>
      </c>
      <c r="J1009" s="50" t="s">
        <v>64</v>
      </c>
      <c r="K1009" s="53">
        <f>K1004/$K$2/8*I1009</f>
        <v>1741.9354838709678</v>
      </c>
      <c r="L1009" s="54"/>
      <c r="N1009" s="71"/>
      <c r="O1009" s="72" t="s">
        <v>51</v>
      </c>
      <c r="P1009" s="72">
        <v>30</v>
      </c>
      <c r="Q1009" s="72">
        <v>0</v>
      </c>
      <c r="R1009" s="72">
        <f t="shared" si="203"/>
        <v>11</v>
      </c>
      <c r="S1009" s="63"/>
      <c r="T1009" s="72" t="s">
        <v>51</v>
      </c>
      <c r="U1009" s="109">
        <f>Y1008</f>
        <v>0</v>
      </c>
      <c r="V1009" s="74">
        <v>3000</v>
      </c>
      <c r="W1009" s="109">
        <f t="shared" si="204"/>
        <v>3000</v>
      </c>
      <c r="X1009" s="74">
        <v>3000</v>
      </c>
      <c r="Y1009" s="109">
        <f t="shared" si="205"/>
        <v>0</v>
      </c>
      <c r="Z1009" s="76"/>
    </row>
    <row r="1010" spans="1:26" s="29" customFormat="1" ht="21" hidden="1" customHeight="1" x14ac:dyDescent="0.2">
      <c r="A1010" s="30"/>
      <c r="B1010" s="48" t="s">
        <v>7</v>
      </c>
      <c r="C1010" s="39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F1010" s="48" t="s">
        <v>67</v>
      </c>
      <c r="G1010" s="43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7"/>
      <c r="I1010" s="456" t="s">
        <v>71</v>
      </c>
      <c r="J1010" s="457"/>
      <c r="K1010" s="53">
        <f>K1008+K1009</f>
        <v>2516.1290322580644</v>
      </c>
      <c r="L1010" s="54"/>
      <c r="N1010" s="71"/>
      <c r="O1010" s="72" t="s">
        <v>52</v>
      </c>
      <c r="P1010" s="72"/>
      <c r="Q1010" s="72"/>
      <c r="R1010" s="72" t="str">
        <f t="shared" si="203"/>
        <v/>
      </c>
      <c r="S1010" s="63"/>
      <c r="T1010" s="72" t="s">
        <v>52</v>
      </c>
      <c r="U1010" s="109">
        <f>IF($J$1="June","",Y1009)</f>
        <v>0</v>
      </c>
      <c r="V1010" s="74"/>
      <c r="W1010" s="109">
        <f t="shared" si="204"/>
        <v>0</v>
      </c>
      <c r="X1010" s="74"/>
      <c r="Y1010" s="109">
        <f t="shared" si="205"/>
        <v>0</v>
      </c>
      <c r="Z1010" s="76"/>
    </row>
    <row r="1011" spans="1:26" s="29" customFormat="1" ht="21" hidden="1" customHeight="1" x14ac:dyDescent="0.2">
      <c r="A1011" s="30"/>
      <c r="B1011" s="48" t="s">
        <v>6</v>
      </c>
      <c r="C1011" s="39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F1011" s="48" t="s">
        <v>23</v>
      </c>
      <c r="G1011" s="43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7"/>
      <c r="I1011" s="456" t="s">
        <v>72</v>
      </c>
      <c r="J1011" s="457"/>
      <c r="K1011" s="43">
        <f>G1011</f>
        <v>0</v>
      </c>
      <c r="L1011" s="55"/>
      <c r="N1011" s="71"/>
      <c r="O1011" s="72" t="s">
        <v>53</v>
      </c>
      <c r="P1011" s="72"/>
      <c r="Q1011" s="72"/>
      <c r="R1011" s="72" t="str">
        <f t="shared" si="203"/>
        <v/>
      </c>
      <c r="S1011" s="63"/>
      <c r="T1011" s="72" t="s">
        <v>53</v>
      </c>
      <c r="U1011" s="109">
        <f>IF($J$1="July","",Y1010)</f>
        <v>0</v>
      </c>
      <c r="V1011" s="74"/>
      <c r="W1011" s="109">
        <f t="shared" si="204"/>
        <v>0</v>
      </c>
      <c r="X1011" s="74"/>
      <c r="Y1011" s="109">
        <f t="shared" si="205"/>
        <v>0</v>
      </c>
      <c r="Z1011" s="76"/>
    </row>
    <row r="1012" spans="1:26" s="29" customFormat="1" ht="21" hidden="1" customHeight="1" x14ac:dyDescent="0.2">
      <c r="A1012" s="30"/>
      <c r="B1012" s="56" t="s">
        <v>70</v>
      </c>
      <c r="C1012" s="39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0</v>
      </c>
      <c r="F1012" s="48" t="s">
        <v>69</v>
      </c>
      <c r="G1012" s="43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I1012" s="458" t="s">
        <v>65</v>
      </c>
      <c r="J1012" s="459"/>
      <c r="K1012" s="57"/>
      <c r="L1012" s="58"/>
      <c r="N1012" s="71"/>
      <c r="O1012" s="72" t="s">
        <v>58</v>
      </c>
      <c r="P1012" s="72"/>
      <c r="Q1012" s="72"/>
      <c r="R1012" s="72" t="str">
        <f t="shared" si="203"/>
        <v/>
      </c>
      <c r="S1012" s="63"/>
      <c r="T1012" s="72" t="s">
        <v>58</v>
      </c>
      <c r="U1012" s="109">
        <f>IF($J$1="August","",Y1011)</f>
        <v>0</v>
      </c>
      <c r="V1012" s="74"/>
      <c r="W1012" s="109">
        <f t="shared" si="204"/>
        <v>0</v>
      </c>
      <c r="X1012" s="74"/>
      <c r="Y1012" s="109">
        <f t="shared" si="205"/>
        <v>0</v>
      </c>
      <c r="Z1012" s="76"/>
    </row>
    <row r="1013" spans="1:26" s="29" customFormat="1" ht="21" hidden="1" customHeight="1" x14ac:dyDescent="0.2">
      <c r="A1013" s="30"/>
      <c r="K1013" s="113"/>
      <c r="L1013" s="46"/>
      <c r="N1013" s="71"/>
      <c r="O1013" s="72" t="s">
        <v>54</v>
      </c>
      <c r="P1013" s="72"/>
      <c r="Q1013" s="72"/>
      <c r="R1013" s="72"/>
      <c r="S1013" s="63"/>
      <c r="T1013" s="72" t="s">
        <v>54</v>
      </c>
      <c r="U1013" s="109">
        <f>IF($J$1="September","",Y1012)</f>
        <v>0</v>
      </c>
      <c r="V1013" s="74"/>
      <c r="W1013" s="109">
        <f t="shared" si="204"/>
        <v>0</v>
      </c>
      <c r="X1013" s="74"/>
      <c r="Y1013" s="109">
        <f t="shared" si="205"/>
        <v>0</v>
      </c>
      <c r="Z1013" s="76"/>
    </row>
    <row r="1014" spans="1:26" s="29" customFormat="1" ht="21" hidden="1" customHeight="1" x14ac:dyDescent="0.2">
      <c r="A1014" s="30"/>
      <c r="B1014" s="455" t="s">
        <v>94</v>
      </c>
      <c r="C1014" s="455"/>
      <c r="D1014" s="455"/>
      <c r="E1014" s="455"/>
      <c r="F1014" s="455"/>
      <c r="G1014" s="455"/>
      <c r="H1014" s="455"/>
      <c r="I1014" s="455"/>
      <c r="J1014" s="455"/>
      <c r="K1014" s="455"/>
      <c r="L1014" s="46"/>
      <c r="N1014" s="71"/>
      <c r="O1014" s="72" t="s">
        <v>59</v>
      </c>
      <c r="P1014" s="72"/>
      <c r="Q1014" s="72"/>
      <c r="R1014" s="72"/>
      <c r="S1014" s="63"/>
      <c r="T1014" s="72" t="s">
        <v>59</v>
      </c>
      <c r="U1014" s="109" t="str">
        <f>IF($J$1="October","",Y1013)</f>
        <v/>
      </c>
      <c r="V1014" s="74"/>
      <c r="W1014" s="109" t="str">
        <f t="shared" si="204"/>
        <v/>
      </c>
      <c r="X1014" s="74"/>
      <c r="Y1014" s="109" t="str">
        <f t="shared" si="205"/>
        <v/>
      </c>
      <c r="Z1014" s="76"/>
    </row>
    <row r="1015" spans="1:26" s="29" customFormat="1" ht="21" hidden="1" customHeight="1" x14ac:dyDescent="0.2">
      <c r="A1015" s="30"/>
      <c r="B1015" s="455"/>
      <c r="C1015" s="455"/>
      <c r="D1015" s="455"/>
      <c r="E1015" s="455"/>
      <c r="F1015" s="455"/>
      <c r="G1015" s="455"/>
      <c r="H1015" s="455"/>
      <c r="I1015" s="455"/>
      <c r="J1015" s="455"/>
      <c r="K1015" s="455"/>
      <c r="L1015" s="46"/>
      <c r="N1015" s="71"/>
      <c r="O1015" s="72" t="s">
        <v>60</v>
      </c>
      <c r="P1015" s="72"/>
      <c r="Q1015" s="72"/>
      <c r="R1015" s="72" t="str">
        <f t="shared" ref="R1015" si="206">IF(Q1015="","",R1014-Q1015)</f>
        <v/>
      </c>
      <c r="S1015" s="63"/>
      <c r="T1015" s="72" t="s">
        <v>60</v>
      </c>
      <c r="U1015" s="109" t="str">
        <f>IF($J$1="November","",Y1014)</f>
        <v/>
      </c>
      <c r="V1015" s="74"/>
      <c r="W1015" s="109" t="str">
        <f t="shared" si="204"/>
        <v/>
      </c>
      <c r="X1015" s="74"/>
      <c r="Y1015" s="109" t="str">
        <f t="shared" si="205"/>
        <v/>
      </c>
      <c r="Z1015" s="76"/>
    </row>
    <row r="1016" spans="1:26" s="29" customFormat="1" ht="21" hidden="1" customHeight="1" thickBot="1" x14ac:dyDescent="0.25">
      <c r="A1016" s="59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1"/>
      <c r="N1016" s="77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9"/>
    </row>
    <row r="1017" spans="1:26" s="29" customFormat="1" ht="21.4" customHeight="1" thickBot="1" x14ac:dyDescent="0.25"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</row>
    <row r="1018" spans="1:26" s="29" customFormat="1" ht="21" customHeight="1" x14ac:dyDescent="0.2">
      <c r="A1018" s="460" t="s">
        <v>42</v>
      </c>
      <c r="B1018" s="461"/>
      <c r="C1018" s="461"/>
      <c r="D1018" s="461"/>
      <c r="E1018" s="461"/>
      <c r="F1018" s="461"/>
      <c r="G1018" s="461"/>
      <c r="H1018" s="461"/>
      <c r="I1018" s="461"/>
      <c r="J1018" s="461"/>
      <c r="K1018" s="461"/>
      <c r="L1018" s="462"/>
      <c r="M1018" s="28"/>
      <c r="N1018" s="64"/>
      <c r="O1018" s="469" t="s">
        <v>44</v>
      </c>
      <c r="P1018" s="470"/>
      <c r="Q1018" s="470"/>
      <c r="R1018" s="471"/>
      <c r="S1018" s="65"/>
      <c r="T1018" s="469" t="s">
        <v>45</v>
      </c>
      <c r="U1018" s="470"/>
      <c r="V1018" s="470"/>
      <c r="W1018" s="470"/>
      <c r="X1018" s="470"/>
      <c r="Y1018" s="471"/>
      <c r="Z1018" s="66"/>
    </row>
    <row r="1019" spans="1:26" s="29" customFormat="1" ht="21" customHeight="1" x14ac:dyDescent="0.2">
      <c r="A1019" s="30"/>
      <c r="C1019" s="466" t="s">
        <v>92</v>
      </c>
      <c r="D1019" s="466"/>
      <c r="E1019" s="466"/>
      <c r="F1019" s="466"/>
      <c r="G1019" s="31" t="str">
        <f>$J$1</f>
        <v>October</v>
      </c>
      <c r="H1019" s="467">
        <f>$K$1</f>
        <v>2022</v>
      </c>
      <c r="I1019" s="467"/>
      <c r="K1019" s="32"/>
      <c r="L1019" s="33"/>
      <c r="M1019" s="32"/>
      <c r="N1019" s="67"/>
      <c r="O1019" s="68" t="s">
        <v>55</v>
      </c>
      <c r="P1019" s="68" t="s">
        <v>7</v>
      </c>
      <c r="Q1019" s="68" t="s">
        <v>6</v>
      </c>
      <c r="R1019" s="68" t="s">
        <v>56</v>
      </c>
      <c r="S1019" s="69"/>
      <c r="T1019" s="68" t="s">
        <v>55</v>
      </c>
      <c r="U1019" s="68" t="s">
        <v>57</v>
      </c>
      <c r="V1019" s="68" t="s">
        <v>22</v>
      </c>
      <c r="W1019" s="68" t="s">
        <v>21</v>
      </c>
      <c r="X1019" s="68" t="s">
        <v>23</v>
      </c>
      <c r="Y1019" s="68" t="s">
        <v>61</v>
      </c>
      <c r="Z1019" s="70"/>
    </row>
    <row r="1020" spans="1:26" s="29" customFormat="1" ht="21" customHeight="1" x14ac:dyDescent="0.2">
      <c r="A1020" s="30"/>
      <c r="D1020" s="35"/>
      <c r="E1020" s="35"/>
      <c r="F1020" s="35"/>
      <c r="G1020" s="35"/>
      <c r="H1020" s="35"/>
      <c r="J1020" s="36" t="s">
        <v>1</v>
      </c>
      <c r="K1020" s="37">
        <f>20000+2500</f>
        <v>22500</v>
      </c>
      <c r="L1020" s="38"/>
      <c r="N1020" s="71"/>
      <c r="O1020" s="72" t="s">
        <v>47</v>
      </c>
      <c r="P1020" s="72">
        <v>31</v>
      </c>
      <c r="Q1020" s="72">
        <v>0</v>
      </c>
      <c r="R1020" s="72">
        <v>0</v>
      </c>
      <c r="S1020" s="73"/>
      <c r="T1020" s="72" t="s">
        <v>47</v>
      </c>
      <c r="U1020" s="74"/>
      <c r="V1020" s="74"/>
      <c r="W1020" s="74">
        <f>V1020+U1020</f>
        <v>0</v>
      </c>
      <c r="X1020" s="74"/>
      <c r="Y1020" s="74">
        <f>W1020-X1020</f>
        <v>0</v>
      </c>
      <c r="Z1020" s="70"/>
    </row>
    <row r="1021" spans="1:26" s="29" customFormat="1" ht="21" customHeight="1" x14ac:dyDescent="0.2">
      <c r="A1021" s="30"/>
      <c r="B1021" s="29" t="s">
        <v>0</v>
      </c>
      <c r="C1021" s="40" t="s">
        <v>228</v>
      </c>
      <c r="H1021" s="41"/>
      <c r="I1021" s="35"/>
      <c r="L1021" s="42"/>
      <c r="M1021" s="28"/>
      <c r="N1021" s="75"/>
      <c r="O1021" s="72" t="s">
        <v>73</v>
      </c>
      <c r="P1021" s="72">
        <v>28</v>
      </c>
      <c r="Q1021" s="72">
        <v>0</v>
      </c>
      <c r="R1021" s="72">
        <v>0</v>
      </c>
      <c r="S1021" s="63"/>
      <c r="T1021" s="72" t="s">
        <v>73</v>
      </c>
      <c r="U1021" s="109">
        <f>IF($J$1="January","",Y1020)</f>
        <v>0</v>
      </c>
      <c r="V1021" s="74"/>
      <c r="W1021" s="109">
        <f>IF(U1021="","",U1021+V1021)</f>
        <v>0</v>
      </c>
      <c r="X1021" s="74"/>
      <c r="Y1021" s="109">
        <f>IF(W1021="","",W1021-X1021)</f>
        <v>0</v>
      </c>
      <c r="Z1021" s="76"/>
    </row>
    <row r="1022" spans="1:26" s="29" customFormat="1" ht="21" customHeight="1" x14ac:dyDescent="0.2">
      <c r="A1022" s="30"/>
      <c r="B1022" s="486"/>
      <c r="C1022" s="486"/>
      <c r="F1022" s="468" t="s">
        <v>45</v>
      </c>
      <c r="G1022" s="468"/>
      <c r="I1022" s="468" t="s">
        <v>46</v>
      </c>
      <c r="J1022" s="468"/>
      <c r="K1022" s="468"/>
      <c r="L1022" s="46"/>
      <c r="N1022" s="71"/>
      <c r="O1022" s="72" t="s">
        <v>48</v>
      </c>
      <c r="P1022" s="72">
        <v>28</v>
      </c>
      <c r="Q1022" s="72">
        <v>3</v>
      </c>
      <c r="R1022" s="72">
        <v>0</v>
      </c>
      <c r="S1022" s="63"/>
      <c r="T1022" s="72" t="s">
        <v>48</v>
      </c>
      <c r="U1022" s="109">
        <f>IF($J$1="February","",Y1021)</f>
        <v>0</v>
      </c>
      <c r="V1022" s="74"/>
      <c r="W1022" s="109">
        <f t="shared" ref="W1022:W1031" si="207">IF(U1022="","",U1022+V1022)</f>
        <v>0</v>
      </c>
      <c r="X1022" s="74"/>
      <c r="Y1022" s="109">
        <f t="shared" ref="Y1022:Y1031" si="208">IF(W1022="","",W1022-X1022)</f>
        <v>0</v>
      </c>
      <c r="Z1022" s="76"/>
    </row>
    <row r="1023" spans="1:26" s="29" customFormat="1" ht="21" customHeight="1" x14ac:dyDescent="0.2">
      <c r="A1023" s="30"/>
      <c r="H1023" s="47"/>
      <c r="L1023" s="34"/>
      <c r="N1023" s="71"/>
      <c r="O1023" s="72" t="s">
        <v>49</v>
      </c>
      <c r="P1023" s="72">
        <v>30</v>
      </c>
      <c r="Q1023" s="72">
        <v>0</v>
      </c>
      <c r="R1023" s="72">
        <v>0</v>
      </c>
      <c r="S1023" s="63"/>
      <c r="T1023" s="72" t="s">
        <v>49</v>
      </c>
      <c r="U1023" s="109">
        <f>IF($J$1="March","",Y1022)</f>
        <v>0</v>
      </c>
      <c r="V1023" s="74"/>
      <c r="W1023" s="109">
        <f t="shared" si="207"/>
        <v>0</v>
      </c>
      <c r="X1023" s="74"/>
      <c r="Y1023" s="109">
        <f t="shared" si="208"/>
        <v>0</v>
      </c>
      <c r="Z1023" s="76"/>
    </row>
    <row r="1024" spans="1:26" s="29" customFormat="1" ht="21" customHeight="1" x14ac:dyDescent="0.2">
      <c r="A1024" s="30"/>
      <c r="B1024" s="472" t="s">
        <v>44</v>
      </c>
      <c r="C1024" s="473"/>
      <c r="F1024" s="48" t="s">
        <v>66</v>
      </c>
      <c r="G1024" s="43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7"/>
      <c r="I1024" s="49">
        <f>IF(C1028&gt;0,$K$2,C1026)</f>
        <v>31</v>
      </c>
      <c r="J1024" s="50" t="s">
        <v>63</v>
      </c>
      <c r="K1024" s="51">
        <f>K1020/$K$2*I1024</f>
        <v>22500</v>
      </c>
      <c r="L1024" s="52"/>
      <c r="N1024" s="71"/>
      <c r="O1024" s="72" t="s">
        <v>50</v>
      </c>
      <c r="P1024" s="72">
        <v>30</v>
      </c>
      <c r="Q1024" s="72">
        <v>1</v>
      </c>
      <c r="R1024" s="72">
        <v>0</v>
      </c>
      <c r="S1024" s="63"/>
      <c r="T1024" s="72" t="s">
        <v>50</v>
      </c>
      <c r="U1024" s="109">
        <f>IF($J$1="April","",Y1023)</f>
        <v>0</v>
      </c>
      <c r="V1024" s="74"/>
      <c r="W1024" s="109">
        <f t="shared" si="207"/>
        <v>0</v>
      </c>
      <c r="X1024" s="74"/>
      <c r="Y1024" s="109">
        <f t="shared" si="208"/>
        <v>0</v>
      </c>
      <c r="Z1024" s="76"/>
    </row>
    <row r="1025" spans="1:26" s="29" customFormat="1" ht="21" customHeight="1" x14ac:dyDescent="0.2">
      <c r="A1025" s="30"/>
      <c r="B1025" s="39"/>
      <c r="C1025" s="39"/>
      <c r="F1025" s="48" t="s">
        <v>22</v>
      </c>
      <c r="G1025" s="43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7"/>
      <c r="I1025" s="84">
        <v>88</v>
      </c>
      <c r="J1025" s="50" t="s">
        <v>64</v>
      </c>
      <c r="K1025" s="53">
        <f>K1020/$K$2/8*I1025</f>
        <v>7983.8709677419347</v>
      </c>
      <c r="L1025" s="54"/>
      <c r="N1025" s="71"/>
      <c r="O1025" s="72" t="s">
        <v>51</v>
      </c>
      <c r="P1025" s="72">
        <v>30</v>
      </c>
      <c r="Q1025" s="72">
        <v>0</v>
      </c>
      <c r="R1025" s="72">
        <v>0</v>
      </c>
      <c r="S1025" s="63"/>
      <c r="T1025" s="72" t="s">
        <v>51</v>
      </c>
      <c r="U1025" s="109">
        <f>IF($J$1="May","",Y1024)</f>
        <v>0</v>
      </c>
      <c r="V1025" s="74"/>
      <c r="W1025" s="109">
        <f t="shared" si="207"/>
        <v>0</v>
      </c>
      <c r="X1025" s="74"/>
      <c r="Y1025" s="109">
        <f t="shared" si="208"/>
        <v>0</v>
      </c>
      <c r="Z1025" s="76"/>
    </row>
    <row r="1026" spans="1:26" s="29" customFormat="1" ht="21" customHeight="1" x14ac:dyDescent="0.2">
      <c r="A1026" s="30"/>
      <c r="B1026" s="48" t="s">
        <v>7</v>
      </c>
      <c r="C1026" s="39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31</v>
      </c>
      <c r="F1026" s="48" t="s">
        <v>67</v>
      </c>
      <c r="G1026" s="43" t="str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/>
      </c>
      <c r="H1026" s="47"/>
      <c r="I1026" s="456" t="s">
        <v>71</v>
      </c>
      <c r="J1026" s="457"/>
      <c r="K1026" s="53">
        <f>K1024+K1025</f>
        <v>30483.870967741936</v>
      </c>
      <c r="L1026" s="54"/>
      <c r="N1026" s="71"/>
      <c r="O1026" s="72" t="s">
        <v>52</v>
      </c>
      <c r="P1026" s="72">
        <v>31</v>
      </c>
      <c r="Q1026" s="72">
        <v>0</v>
      </c>
      <c r="R1026" s="72">
        <v>0</v>
      </c>
      <c r="S1026" s="63"/>
      <c r="T1026" s="72" t="s">
        <v>52</v>
      </c>
      <c r="U1026" s="109">
        <f>IF($J$1="June","",Y1025)</f>
        <v>0</v>
      </c>
      <c r="V1026" s="74"/>
      <c r="W1026" s="109">
        <f t="shared" si="207"/>
        <v>0</v>
      </c>
      <c r="X1026" s="74"/>
      <c r="Y1026" s="109">
        <f t="shared" si="208"/>
        <v>0</v>
      </c>
      <c r="Z1026" s="76"/>
    </row>
    <row r="1027" spans="1:26" s="29" customFormat="1" ht="21" customHeight="1" x14ac:dyDescent="0.2">
      <c r="A1027" s="30"/>
      <c r="B1027" s="48" t="s">
        <v>6</v>
      </c>
      <c r="C1027" s="39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0</v>
      </c>
      <c r="F1027" s="48" t="s">
        <v>23</v>
      </c>
      <c r="G1027" s="43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7"/>
      <c r="I1027" s="456" t="s">
        <v>72</v>
      </c>
      <c r="J1027" s="457"/>
      <c r="K1027" s="43">
        <f>G1027</f>
        <v>0</v>
      </c>
      <c r="L1027" s="55"/>
      <c r="N1027" s="71"/>
      <c r="O1027" s="72" t="s">
        <v>53</v>
      </c>
      <c r="P1027" s="72">
        <v>30</v>
      </c>
      <c r="Q1027" s="72">
        <v>1</v>
      </c>
      <c r="R1027" s="72">
        <v>0</v>
      </c>
      <c r="S1027" s="63"/>
      <c r="T1027" s="72" t="s">
        <v>53</v>
      </c>
      <c r="U1027" s="109">
        <f>IF($J$1="July","",Y1026)</f>
        <v>0</v>
      </c>
      <c r="V1027" s="74"/>
      <c r="W1027" s="109">
        <f t="shared" si="207"/>
        <v>0</v>
      </c>
      <c r="X1027" s="74"/>
      <c r="Y1027" s="109">
        <f t="shared" si="208"/>
        <v>0</v>
      </c>
      <c r="Z1027" s="76"/>
    </row>
    <row r="1028" spans="1:26" s="29" customFormat="1" ht="21" customHeight="1" x14ac:dyDescent="0.2">
      <c r="A1028" s="30"/>
      <c r="B1028" s="56" t="s">
        <v>70</v>
      </c>
      <c r="C1028" s="39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F1028" s="48" t="s">
        <v>69</v>
      </c>
      <c r="G1028" s="43" t="str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/>
      </c>
      <c r="I1028" s="458" t="s">
        <v>65</v>
      </c>
      <c r="J1028" s="459"/>
      <c r="K1028" s="57">
        <f>K1026-K1027</f>
        <v>30483.870967741936</v>
      </c>
      <c r="L1028" s="58"/>
      <c r="N1028" s="71"/>
      <c r="O1028" s="72" t="s">
        <v>58</v>
      </c>
      <c r="P1028" s="72">
        <v>30</v>
      </c>
      <c r="Q1028" s="72">
        <v>0</v>
      </c>
      <c r="R1028" s="72"/>
      <c r="S1028" s="63"/>
      <c r="T1028" s="72" t="s">
        <v>58</v>
      </c>
      <c r="U1028" s="109">
        <f>IF($J$1="July","",Y1027)</f>
        <v>0</v>
      </c>
      <c r="V1028" s="74">
        <v>60</v>
      </c>
      <c r="W1028" s="109">
        <f t="shared" ref="W1028" si="209">IF(U1028="","",U1028+V1028)</f>
        <v>60</v>
      </c>
      <c r="X1028" s="74">
        <v>60</v>
      </c>
      <c r="Y1028" s="109">
        <f t="shared" ref="Y1028" si="210">IF(W1028="","",W1028-X1028)</f>
        <v>0</v>
      </c>
      <c r="Z1028" s="76"/>
    </row>
    <row r="1029" spans="1:26" s="29" customFormat="1" ht="21" customHeight="1" x14ac:dyDescent="0.2">
      <c r="A1029" s="30"/>
      <c r="K1029" s="113"/>
      <c r="L1029" s="46"/>
      <c r="N1029" s="71"/>
      <c r="O1029" s="72" t="s">
        <v>54</v>
      </c>
      <c r="P1029" s="72">
        <v>31</v>
      </c>
      <c r="Q1029" s="72">
        <v>0</v>
      </c>
      <c r="R1029" s="72"/>
      <c r="S1029" s="63"/>
      <c r="T1029" s="72" t="s">
        <v>54</v>
      </c>
      <c r="U1029" s="109"/>
      <c r="V1029" s="74"/>
      <c r="W1029" s="109" t="str">
        <f t="shared" si="207"/>
        <v/>
      </c>
      <c r="X1029" s="74"/>
      <c r="Y1029" s="109" t="str">
        <f t="shared" si="208"/>
        <v/>
      </c>
      <c r="Z1029" s="76"/>
    </row>
    <row r="1030" spans="1:26" s="29" customFormat="1" ht="21" customHeight="1" x14ac:dyDescent="0.2">
      <c r="A1030" s="30"/>
      <c r="B1030" s="455" t="s">
        <v>94</v>
      </c>
      <c r="C1030" s="455"/>
      <c r="D1030" s="455"/>
      <c r="E1030" s="455"/>
      <c r="F1030" s="455"/>
      <c r="G1030" s="455"/>
      <c r="H1030" s="455"/>
      <c r="I1030" s="455"/>
      <c r="J1030" s="455"/>
      <c r="K1030" s="455"/>
      <c r="L1030" s="46"/>
      <c r="N1030" s="71"/>
      <c r="O1030" s="72" t="s">
        <v>59</v>
      </c>
      <c r="P1030" s="72"/>
      <c r="Q1030" s="72"/>
      <c r="R1030" s="72"/>
      <c r="S1030" s="63"/>
      <c r="T1030" s="72" t="s">
        <v>59</v>
      </c>
      <c r="U1030" s="109" t="str">
        <f>IF($J$1="October","",Y1029)</f>
        <v/>
      </c>
      <c r="V1030" s="74"/>
      <c r="W1030" s="109" t="str">
        <f t="shared" si="207"/>
        <v/>
      </c>
      <c r="X1030" s="74"/>
      <c r="Y1030" s="109" t="str">
        <f t="shared" si="208"/>
        <v/>
      </c>
      <c r="Z1030" s="76"/>
    </row>
    <row r="1031" spans="1:26" s="29" customFormat="1" ht="21" customHeight="1" x14ac:dyDescent="0.2">
      <c r="A1031" s="30"/>
      <c r="B1031" s="455"/>
      <c r="C1031" s="455"/>
      <c r="D1031" s="455"/>
      <c r="E1031" s="455"/>
      <c r="F1031" s="455"/>
      <c r="G1031" s="455"/>
      <c r="H1031" s="455"/>
      <c r="I1031" s="455"/>
      <c r="J1031" s="455"/>
      <c r="K1031" s="455"/>
      <c r="L1031" s="46"/>
      <c r="N1031" s="71"/>
      <c r="O1031" s="72" t="s">
        <v>60</v>
      </c>
      <c r="P1031" s="72"/>
      <c r="Q1031" s="72"/>
      <c r="R1031" s="72"/>
      <c r="S1031" s="63"/>
      <c r="T1031" s="72" t="s">
        <v>60</v>
      </c>
      <c r="U1031" s="109" t="str">
        <f>IF($J$1="November","",Y1030)</f>
        <v/>
      </c>
      <c r="V1031" s="74"/>
      <c r="W1031" s="109" t="str">
        <f t="shared" si="207"/>
        <v/>
      </c>
      <c r="X1031" s="74"/>
      <c r="Y1031" s="109" t="str">
        <f t="shared" si="208"/>
        <v/>
      </c>
      <c r="Z1031" s="76"/>
    </row>
    <row r="1032" spans="1:26" s="29" customFormat="1" ht="21" customHeight="1" thickBot="1" x14ac:dyDescent="0.25">
      <c r="A1032" s="59"/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1"/>
      <c r="N1032" s="77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9"/>
    </row>
    <row r="1033" spans="1:26" ht="15.75" thickBot="1" x14ac:dyDescent="0.3"/>
    <row r="1034" spans="1:26" s="29" customFormat="1" ht="21" customHeight="1" x14ac:dyDescent="0.2">
      <c r="A1034" s="460" t="s">
        <v>42</v>
      </c>
      <c r="B1034" s="461"/>
      <c r="C1034" s="461"/>
      <c r="D1034" s="461"/>
      <c r="E1034" s="461"/>
      <c r="F1034" s="461"/>
      <c r="G1034" s="461"/>
      <c r="H1034" s="461"/>
      <c r="I1034" s="461"/>
      <c r="J1034" s="461"/>
      <c r="K1034" s="461"/>
      <c r="L1034" s="462"/>
      <c r="M1034" s="28"/>
      <c r="N1034" s="64"/>
      <c r="O1034" s="469" t="s">
        <v>44</v>
      </c>
      <c r="P1034" s="470"/>
      <c r="Q1034" s="470"/>
      <c r="R1034" s="471"/>
      <c r="S1034" s="65"/>
      <c r="T1034" s="469" t="s">
        <v>45</v>
      </c>
      <c r="U1034" s="470"/>
      <c r="V1034" s="470"/>
      <c r="W1034" s="470"/>
      <c r="X1034" s="470"/>
      <c r="Y1034" s="471"/>
      <c r="Z1034" s="66"/>
    </row>
    <row r="1035" spans="1:26" s="29" customFormat="1" ht="21" customHeight="1" x14ac:dyDescent="0.2">
      <c r="A1035" s="30"/>
      <c r="C1035" s="466" t="s">
        <v>92</v>
      </c>
      <c r="D1035" s="466"/>
      <c r="E1035" s="466"/>
      <c r="F1035" s="466"/>
      <c r="G1035" s="31" t="str">
        <f>$J$1</f>
        <v>October</v>
      </c>
      <c r="H1035" s="467">
        <f>$K$1</f>
        <v>2022</v>
      </c>
      <c r="I1035" s="467"/>
      <c r="K1035" s="32"/>
      <c r="L1035" s="33"/>
      <c r="M1035" s="32"/>
      <c r="N1035" s="67"/>
      <c r="O1035" s="68" t="s">
        <v>55</v>
      </c>
      <c r="P1035" s="68" t="s">
        <v>7</v>
      </c>
      <c r="Q1035" s="68" t="s">
        <v>6</v>
      </c>
      <c r="R1035" s="68" t="s">
        <v>56</v>
      </c>
      <c r="S1035" s="69"/>
      <c r="T1035" s="68" t="s">
        <v>55</v>
      </c>
      <c r="U1035" s="68" t="s">
        <v>57</v>
      </c>
      <c r="V1035" s="68" t="s">
        <v>22</v>
      </c>
      <c r="W1035" s="68" t="s">
        <v>21</v>
      </c>
      <c r="X1035" s="68" t="s">
        <v>23</v>
      </c>
      <c r="Y1035" s="68" t="s">
        <v>61</v>
      </c>
      <c r="Z1035" s="70"/>
    </row>
    <row r="1036" spans="1:26" s="29" customFormat="1" ht="21" customHeight="1" x14ac:dyDescent="0.2">
      <c r="A1036" s="30"/>
      <c r="D1036" s="35"/>
      <c r="E1036" s="35"/>
      <c r="F1036" s="35"/>
      <c r="G1036" s="35"/>
      <c r="H1036" s="35"/>
      <c r="J1036" s="36" t="s">
        <v>1</v>
      </c>
      <c r="K1036" s="37">
        <f>25000+2500</f>
        <v>27500</v>
      </c>
      <c r="L1036" s="38"/>
      <c r="N1036" s="71"/>
      <c r="O1036" s="72" t="s">
        <v>47</v>
      </c>
      <c r="P1036" s="72">
        <v>31</v>
      </c>
      <c r="Q1036" s="72">
        <v>0</v>
      </c>
      <c r="R1036" s="72">
        <v>0</v>
      </c>
      <c r="S1036" s="73"/>
      <c r="T1036" s="72" t="s">
        <v>47</v>
      </c>
      <c r="U1036" s="74"/>
      <c r="V1036" s="74"/>
      <c r="W1036" s="74">
        <f>V1036+U1036</f>
        <v>0</v>
      </c>
      <c r="X1036" s="74"/>
      <c r="Y1036" s="74">
        <f>W1036-X1036</f>
        <v>0</v>
      </c>
      <c r="Z1036" s="70"/>
    </row>
    <row r="1037" spans="1:26" s="29" customFormat="1" ht="21" customHeight="1" x14ac:dyDescent="0.2">
      <c r="A1037" s="30"/>
      <c r="B1037" s="29" t="s">
        <v>0</v>
      </c>
      <c r="C1037" s="40" t="s">
        <v>142</v>
      </c>
      <c r="H1037" s="41"/>
      <c r="I1037" s="35"/>
      <c r="L1037" s="42"/>
      <c r="M1037" s="28"/>
      <c r="N1037" s="75"/>
      <c r="O1037" s="72" t="s">
        <v>73</v>
      </c>
      <c r="P1037" s="72">
        <v>28</v>
      </c>
      <c r="Q1037" s="72">
        <v>0</v>
      </c>
      <c r="R1037" s="72">
        <v>0</v>
      </c>
      <c r="S1037" s="63"/>
      <c r="T1037" s="72" t="s">
        <v>73</v>
      </c>
      <c r="U1037" s="109">
        <f>IF($J$1="January","",Y1036)</f>
        <v>0</v>
      </c>
      <c r="V1037" s="74"/>
      <c r="W1037" s="109">
        <f>IF(U1037="","",U1037+V1037)</f>
        <v>0</v>
      </c>
      <c r="X1037" s="74"/>
      <c r="Y1037" s="109">
        <f>IF(W1037="","",W1037-X1037)</f>
        <v>0</v>
      </c>
      <c r="Z1037" s="76"/>
    </row>
    <row r="1038" spans="1:26" s="29" customFormat="1" ht="21" customHeight="1" x14ac:dyDescent="0.2">
      <c r="A1038" s="30"/>
      <c r="B1038" s="44" t="s">
        <v>43</v>
      </c>
      <c r="C1038" s="125"/>
      <c r="F1038" s="468" t="s">
        <v>45</v>
      </c>
      <c r="G1038" s="468"/>
      <c r="I1038" s="468" t="s">
        <v>46</v>
      </c>
      <c r="J1038" s="468"/>
      <c r="K1038" s="468"/>
      <c r="L1038" s="46"/>
      <c r="N1038" s="71"/>
      <c r="O1038" s="72" t="s">
        <v>48</v>
      </c>
      <c r="P1038" s="72">
        <v>31</v>
      </c>
      <c r="Q1038" s="72">
        <v>0</v>
      </c>
      <c r="R1038" s="72">
        <v>0</v>
      </c>
      <c r="S1038" s="63"/>
      <c r="T1038" s="72" t="s">
        <v>48</v>
      </c>
      <c r="U1038" s="109">
        <f>IF($J$1="February","",Y1037)</f>
        <v>0</v>
      </c>
      <c r="V1038" s="74"/>
      <c r="W1038" s="109">
        <f t="shared" ref="W1038:W1047" si="211">IF(U1038="","",U1038+V1038)</f>
        <v>0</v>
      </c>
      <c r="X1038" s="74"/>
      <c r="Y1038" s="109">
        <f t="shared" ref="Y1038:Y1047" si="212">IF(W1038="","",W1038-X1038)</f>
        <v>0</v>
      </c>
      <c r="Z1038" s="76"/>
    </row>
    <row r="1039" spans="1:26" s="29" customFormat="1" ht="21" customHeight="1" x14ac:dyDescent="0.2">
      <c r="A1039" s="30"/>
      <c r="H1039" s="47"/>
      <c r="L1039" s="34"/>
      <c r="N1039" s="71"/>
      <c r="O1039" s="72" t="s">
        <v>49</v>
      </c>
      <c r="P1039" s="72">
        <v>28</v>
      </c>
      <c r="Q1039" s="72">
        <v>2</v>
      </c>
      <c r="R1039" s="72">
        <v>0</v>
      </c>
      <c r="S1039" s="63"/>
      <c r="T1039" s="72" t="s">
        <v>49</v>
      </c>
      <c r="U1039" s="109">
        <f>IF($J$1="March","",Y1038)</f>
        <v>0</v>
      </c>
      <c r="V1039" s="74"/>
      <c r="W1039" s="109">
        <f t="shared" si="211"/>
        <v>0</v>
      </c>
      <c r="X1039" s="74"/>
      <c r="Y1039" s="109">
        <f t="shared" si="212"/>
        <v>0</v>
      </c>
      <c r="Z1039" s="76"/>
    </row>
    <row r="1040" spans="1:26" s="29" customFormat="1" ht="21" customHeight="1" x14ac:dyDescent="0.2">
      <c r="A1040" s="30"/>
      <c r="B1040" s="472" t="s">
        <v>44</v>
      </c>
      <c r="C1040" s="473"/>
      <c r="F1040" s="48" t="s">
        <v>66</v>
      </c>
      <c r="G1040" s="43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7"/>
      <c r="I1040" s="49">
        <f>IF(C1044&gt;0,$K$2,C1042)</f>
        <v>31</v>
      </c>
      <c r="J1040" s="50" t="s">
        <v>63</v>
      </c>
      <c r="K1040" s="51">
        <f>K1036/$K$2*I1040</f>
        <v>27500</v>
      </c>
      <c r="L1040" s="52"/>
      <c r="N1040" s="71"/>
      <c r="O1040" s="72" t="s">
        <v>50</v>
      </c>
      <c r="P1040" s="72">
        <v>22</v>
      </c>
      <c r="Q1040" s="72">
        <v>9</v>
      </c>
      <c r="R1040" s="72">
        <v>0</v>
      </c>
      <c r="S1040" s="63"/>
      <c r="T1040" s="72" t="s">
        <v>50</v>
      </c>
      <c r="U1040" s="109">
        <f>IF($J$1="April","",Y1039)</f>
        <v>0</v>
      </c>
      <c r="V1040" s="74"/>
      <c r="W1040" s="109">
        <f t="shared" si="211"/>
        <v>0</v>
      </c>
      <c r="X1040" s="74"/>
      <c r="Y1040" s="109">
        <f t="shared" si="212"/>
        <v>0</v>
      </c>
      <c r="Z1040" s="76"/>
    </row>
    <row r="1041" spans="1:27" s="29" customFormat="1" ht="21" customHeight="1" x14ac:dyDescent="0.2">
      <c r="A1041" s="30"/>
      <c r="B1041" s="39"/>
      <c r="C1041" s="39"/>
      <c r="F1041" s="48" t="s">
        <v>22</v>
      </c>
      <c r="G1041" s="43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7"/>
      <c r="I1041" s="84">
        <v>91</v>
      </c>
      <c r="J1041" s="50" t="s">
        <v>64</v>
      </c>
      <c r="K1041" s="53">
        <f>K1036/$K$2/8*I1041</f>
        <v>10090.725806451614</v>
      </c>
      <c r="L1041" s="54"/>
      <c r="N1041" s="71"/>
      <c r="O1041" s="72" t="s">
        <v>51</v>
      </c>
      <c r="P1041" s="72">
        <v>30</v>
      </c>
      <c r="Q1041" s="72">
        <v>0</v>
      </c>
      <c r="R1041" s="72">
        <v>0</v>
      </c>
      <c r="S1041" s="63"/>
      <c r="T1041" s="72" t="s">
        <v>51</v>
      </c>
      <c r="U1041" s="109">
        <f>IF($J$1="May","",Y1040)</f>
        <v>0</v>
      </c>
      <c r="V1041" s="74"/>
      <c r="W1041" s="109">
        <f t="shared" si="211"/>
        <v>0</v>
      </c>
      <c r="X1041" s="74"/>
      <c r="Y1041" s="109">
        <f t="shared" si="212"/>
        <v>0</v>
      </c>
      <c r="Z1041" s="76"/>
    </row>
    <row r="1042" spans="1:27" s="29" customFormat="1" ht="21" customHeight="1" x14ac:dyDescent="0.2">
      <c r="A1042" s="30"/>
      <c r="B1042" s="48" t="s">
        <v>7</v>
      </c>
      <c r="C1042" s="39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31</v>
      </c>
      <c r="F1042" s="48" t="s">
        <v>67</v>
      </c>
      <c r="G1042" s="43" t="str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/>
      </c>
      <c r="H1042" s="47"/>
      <c r="I1042" s="456" t="s">
        <v>71</v>
      </c>
      <c r="J1042" s="457"/>
      <c r="K1042" s="53">
        <f>K1040+K1041</f>
        <v>37590.725806451614</v>
      </c>
      <c r="L1042" s="54"/>
      <c r="N1042" s="71"/>
      <c r="O1042" s="72" t="s">
        <v>52</v>
      </c>
      <c r="P1042" s="72">
        <v>31</v>
      </c>
      <c r="Q1042" s="72">
        <v>0</v>
      </c>
      <c r="R1042" s="72">
        <v>0</v>
      </c>
      <c r="S1042" s="63"/>
      <c r="T1042" s="72" t="s">
        <v>52</v>
      </c>
      <c r="U1042" s="109">
        <f>IF($J$1="June","",Y1041)</f>
        <v>0</v>
      </c>
      <c r="V1042" s="74"/>
      <c r="W1042" s="109">
        <f t="shared" si="211"/>
        <v>0</v>
      </c>
      <c r="X1042" s="74"/>
      <c r="Y1042" s="109">
        <f t="shared" si="212"/>
        <v>0</v>
      </c>
      <c r="Z1042" s="76"/>
    </row>
    <row r="1043" spans="1:27" s="29" customFormat="1" ht="21" customHeight="1" x14ac:dyDescent="0.2">
      <c r="A1043" s="30"/>
      <c r="B1043" s="48" t="s">
        <v>6</v>
      </c>
      <c r="C1043" s="39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F1043" s="48" t="s">
        <v>23</v>
      </c>
      <c r="G1043" s="43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7"/>
      <c r="I1043" s="456" t="s">
        <v>72</v>
      </c>
      <c r="J1043" s="457"/>
      <c r="K1043" s="43">
        <f>G1043</f>
        <v>0</v>
      </c>
      <c r="L1043" s="55"/>
      <c r="N1043" s="71"/>
      <c r="O1043" s="72" t="s">
        <v>53</v>
      </c>
      <c r="P1043" s="72">
        <v>31</v>
      </c>
      <c r="Q1043" s="72">
        <v>0</v>
      </c>
      <c r="R1043" s="72">
        <v>0</v>
      </c>
      <c r="S1043" s="63"/>
      <c r="T1043" s="72" t="s">
        <v>53</v>
      </c>
      <c r="U1043" s="109">
        <f>IF($J$1="July","",Y1042)</f>
        <v>0</v>
      </c>
      <c r="V1043" s="74"/>
      <c r="W1043" s="109">
        <f t="shared" si="211"/>
        <v>0</v>
      </c>
      <c r="X1043" s="74"/>
      <c r="Y1043" s="109">
        <f t="shared" si="212"/>
        <v>0</v>
      </c>
      <c r="Z1043" s="76"/>
    </row>
    <row r="1044" spans="1:27" s="29" customFormat="1" ht="21" customHeight="1" x14ac:dyDescent="0.2">
      <c r="A1044" s="30"/>
      <c r="B1044" s="56" t="s">
        <v>70</v>
      </c>
      <c r="C1044" s="39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F1044" s="48" t="s">
        <v>193</v>
      </c>
      <c r="G1044" s="43" t="str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/>
      </c>
      <c r="I1044" s="458" t="s">
        <v>65</v>
      </c>
      <c r="J1044" s="459"/>
      <c r="K1044" s="57">
        <f>K1042-K1043</f>
        <v>37590.725806451614</v>
      </c>
      <c r="L1044" s="58"/>
      <c r="N1044" s="71"/>
      <c r="O1044" s="72" t="s">
        <v>58</v>
      </c>
      <c r="P1044" s="72">
        <v>30</v>
      </c>
      <c r="Q1044" s="72">
        <v>0</v>
      </c>
      <c r="R1044" s="72">
        <v>0</v>
      </c>
      <c r="S1044" s="63"/>
      <c r="T1044" s="72" t="s">
        <v>58</v>
      </c>
      <c r="U1044" s="109">
        <f>IF($J$1="July","",Y1043)</f>
        <v>0</v>
      </c>
      <c r="V1044" s="74">
        <v>130</v>
      </c>
      <c r="W1044" s="109">
        <f t="shared" ref="W1044" si="213">IF(U1044="","",U1044+V1044)</f>
        <v>130</v>
      </c>
      <c r="X1044" s="74"/>
      <c r="Y1044" s="109">
        <f t="shared" ref="Y1044" si="214">IF(W1044="","",W1044-X1044)</f>
        <v>130</v>
      </c>
      <c r="Z1044" s="76"/>
    </row>
    <row r="1045" spans="1:27" s="29" customFormat="1" ht="21" customHeight="1" x14ac:dyDescent="0.2">
      <c r="A1045" s="30"/>
      <c r="K1045" s="113"/>
      <c r="L1045" s="46"/>
      <c r="N1045" s="71"/>
      <c r="O1045" s="72" t="s">
        <v>54</v>
      </c>
      <c r="P1045" s="72">
        <v>31</v>
      </c>
      <c r="Q1045" s="72">
        <v>0</v>
      </c>
      <c r="R1045" s="72">
        <f>IF(Q1045="","",R1044-Q1045)</f>
        <v>0</v>
      </c>
      <c r="S1045" s="63"/>
      <c r="T1045" s="72" t="s">
        <v>54</v>
      </c>
      <c r="U1045" s="109"/>
      <c r="V1045" s="74"/>
      <c r="W1045" s="109" t="str">
        <f t="shared" si="211"/>
        <v/>
      </c>
      <c r="X1045" s="74"/>
      <c r="Y1045" s="109" t="str">
        <f t="shared" si="212"/>
        <v/>
      </c>
      <c r="Z1045" s="76"/>
    </row>
    <row r="1046" spans="1:27" s="29" customFormat="1" ht="21" customHeight="1" x14ac:dyDescent="0.2">
      <c r="A1046" s="30"/>
      <c r="B1046" s="455" t="s">
        <v>94</v>
      </c>
      <c r="C1046" s="455"/>
      <c r="D1046" s="455"/>
      <c r="E1046" s="455"/>
      <c r="F1046" s="455"/>
      <c r="G1046" s="455"/>
      <c r="H1046" s="455"/>
      <c r="I1046" s="455"/>
      <c r="J1046" s="455"/>
      <c r="K1046" s="455"/>
      <c r="L1046" s="46"/>
      <c r="N1046" s="71"/>
      <c r="O1046" s="72" t="s">
        <v>59</v>
      </c>
      <c r="P1046" s="72"/>
      <c r="Q1046" s="72"/>
      <c r="R1046" s="72">
        <v>0</v>
      </c>
      <c r="S1046" s="63"/>
      <c r="T1046" s="72" t="s">
        <v>59</v>
      </c>
      <c r="U1046" s="109"/>
      <c r="V1046" s="74"/>
      <c r="W1046" s="109" t="str">
        <f t="shared" si="211"/>
        <v/>
      </c>
      <c r="X1046" s="74"/>
      <c r="Y1046" s="109" t="str">
        <f t="shared" si="212"/>
        <v/>
      </c>
      <c r="Z1046" s="76"/>
    </row>
    <row r="1047" spans="1:27" s="29" customFormat="1" ht="21" customHeight="1" x14ac:dyDescent="0.2">
      <c r="A1047" s="30"/>
      <c r="B1047" s="455"/>
      <c r="C1047" s="455"/>
      <c r="D1047" s="455"/>
      <c r="E1047" s="455"/>
      <c r="F1047" s="455"/>
      <c r="G1047" s="455"/>
      <c r="H1047" s="455"/>
      <c r="I1047" s="455"/>
      <c r="J1047" s="455"/>
      <c r="K1047" s="455"/>
      <c r="L1047" s="46"/>
      <c r="N1047" s="71"/>
      <c r="O1047" s="72" t="s">
        <v>60</v>
      </c>
      <c r="P1047" s="72"/>
      <c r="Q1047" s="72"/>
      <c r="R1047" s="72">
        <v>0</v>
      </c>
      <c r="S1047" s="63"/>
      <c r="T1047" s="72" t="s">
        <v>60</v>
      </c>
      <c r="U1047" s="109"/>
      <c r="V1047" s="74"/>
      <c r="W1047" s="109" t="str">
        <f t="shared" si="211"/>
        <v/>
      </c>
      <c r="X1047" s="74"/>
      <c r="Y1047" s="109" t="str">
        <f t="shared" si="212"/>
        <v/>
      </c>
      <c r="Z1047" s="76"/>
    </row>
    <row r="1048" spans="1:27" s="29" customFormat="1" ht="21" customHeight="1" thickBot="1" x14ac:dyDescent="0.25">
      <c r="A1048" s="59"/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1"/>
      <c r="N1048" s="77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9"/>
    </row>
    <row r="1049" spans="1:27" s="29" customFormat="1" ht="21" customHeight="1" thickBot="1" x14ac:dyDescent="0.25"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  <c r="Y1049" s="63"/>
      <c r="Z1049" s="63"/>
    </row>
    <row r="1050" spans="1:27" s="29" customFormat="1" ht="21.4" customHeight="1" x14ac:dyDescent="0.2">
      <c r="A1050" s="534" t="s">
        <v>42</v>
      </c>
      <c r="B1050" s="535"/>
      <c r="C1050" s="535"/>
      <c r="D1050" s="535"/>
      <c r="E1050" s="535"/>
      <c r="F1050" s="535"/>
      <c r="G1050" s="535"/>
      <c r="H1050" s="535"/>
      <c r="I1050" s="535"/>
      <c r="J1050" s="535"/>
      <c r="K1050" s="535"/>
      <c r="L1050" s="536"/>
      <c r="M1050" s="28"/>
      <c r="N1050" s="64"/>
      <c r="O1050" s="469" t="s">
        <v>44</v>
      </c>
      <c r="P1050" s="470"/>
      <c r="Q1050" s="470"/>
      <c r="R1050" s="471"/>
      <c r="S1050" s="65"/>
      <c r="T1050" s="469" t="s">
        <v>45</v>
      </c>
      <c r="U1050" s="470"/>
      <c r="V1050" s="470"/>
      <c r="W1050" s="470"/>
      <c r="X1050" s="470"/>
      <c r="Y1050" s="471"/>
      <c r="Z1050" s="66"/>
      <c r="AA1050" s="28"/>
    </row>
    <row r="1051" spans="1:27" s="29" customFormat="1" ht="21.4" customHeight="1" x14ac:dyDescent="0.2">
      <c r="A1051" s="30"/>
      <c r="C1051" s="466" t="s">
        <v>92</v>
      </c>
      <c r="D1051" s="466"/>
      <c r="E1051" s="466"/>
      <c r="F1051" s="466"/>
      <c r="G1051" s="31" t="str">
        <f>$J$1</f>
        <v>October</v>
      </c>
      <c r="H1051" s="467">
        <f>$K$1</f>
        <v>2022</v>
      </c>
      <c r="I1051" s="467"/>
      <c r="K1051" s="32"/>
      <c r="L1051" s="33"/>
      <c r="M1051" s="32"/>
      <c r="N1051" s="67"/>
      <c r="O1051" s="68" t="s">
        <v>55</v>
      </c>
      <c r="P1051" s="68" t="s">
        <v>7</v>
      </c>
      <c r="Q1051" s="68" t="s">
        <v>6</v>
      </c>
      <c r="R1051" s="68" t="s">
        <v>56</v>
      </c>
      <c r="S1051" s="69"/>
      <c r="T1051" s="68" t="s">
        <v>55</v>
      </c>
      <c r="U1051" s="68" t="s">
        <v>57</v>
      </c>
      <c r="V1051" s="68" t="s">
        <v>22</v>
      </c>
      <c r="W1051" s="68" t="s">
        <v>21</v>
      </c>
      <c r="X1051" s="68" t="s">
        <v>23</v>
      </c>
      <c r="Y1051" s="68" t="s">
        <v>61</v>
      </c>
      <c r="Z1051" s="70"/>
      <c r="AA1051" s="32"/>
    </row>
    <row r="1052" spans="1:27" s="29" customFormat="1" ht="21.4" customHeight="1" x14ac:dyDescent="0.2">
      <c r="A1052" s="30"/>
      <c r="D1052" s="35"/>
      <c r="E1052" s="35"/>
      <c r="F1052" s="35"/>
      <c r="G1052" s="35"/>
      <c r="H1052" s="35"/>
      <c r="J1052" s="36" t="s">
        <v>1</v>
      </c>
      <c r="K1052" s="37">
        <f>22500+2500</f>
        <v>25000</v>
      </c>
      <c r="L1052" s="38"/>
      <c r="N1052" s="71"/>
      <c r="O1052" s="72" t="s">
        <v>47</v>
      </c>
      <c r="P1052" s="72">
        <v>31</v>
      </c>
      <c r="Q1052" s="72">
        <v>0</v>
      </c>
      <c r="R1052" s="72">
        <f>15-Q1052</f>
        <v>15</v>
      </c>
      <c r="S1052" s="73"/>
      <c r="T1052" s="72" t="s">
        <v>47</v>
      </c>
      <c r="U1052" s="74"/>
      <c r="V1052" s="74">
        <v>50000</v>
      </c>
      <c r="W1052" s="74">
        <f>V1052+U1052</f>
        <v>50000</v>
      </c>
      <c r="X1052" s="74"/>
      <c r="Y1052" s="74">
        <f>W1052-X1052</f>
        <v>50000</v>
      </c>
      <c r="Z1052" s="70"/>
    </row>
    <row r="1053" spans="1:27" s="29" customFormat="1" ht="21.4" customHeight="1" x14ac:dyDescent="0.2">
      <c r="A1053" s="30"/>
      <c r="B1053" s="29" t="s">
        <v>0</v>
      </c>
      <c r="C1053" s="40" t="s">
        <v>208</v>
      </c>
      <c r="H1053" s="41"/>
      <c r="I1053" s="35"/>
      <c r="L1053" s="42"/>
      <c r="M1053" s="28"/>
      <c r="N1053" s="75"/>
      <c r="O1053" s="72" t="s">
        <v>73</v>
      </c>
      <c r="P1053" s="72">
        <v>24</v>
      </c>
      <c r="Q1053" s="72">
        <v>4</v>
      </c>
      <c r="R1053" s="72">
        <f>15-Q1053</f>
        <v>11</v>
      </c>
      <c r="S1053" s="63"/>
      <c r="T1053" s="72" t="s">
        <v>73</v>
      </c>
      <c r="U1053" s="109">
        <f t="shared" ref="U1053:U1058" si="215">Y1052</f>
        <v>50000</v>
      </c>
      <c r="V1053" s="74"/>
      <c r="W1053" s="109">
        <f>IF(U1053="","",U1053+V1053)</f>
        <v>50000</v>
      </c>
      <c r="X1053" s="74">
        <v>5000</v>
      </c>
      <c r="Y1053" s="109">
        <f>IF(W1053="","",W1053-X1053)</f>
        <v>45000</v>
      </c>
      <c r="Z1053" s="76"/>
      <c r="AA1053" s="28"/>
    </row>
    <row r="1054" spans="1:27" s="29" customFormat="1" ht="21.4" customHeight="1" x14ac:dyDescent="0.2">
      <c r="A1054" s="30"/>
      <c r="B1054" s="44" t="s">
        <v>43</v>
      </c>
      <c r="C1054" s="62"/>
      <c r="F1054" s="468" t="s">
        <v>45</v>
      </c>
      <c r="G1054" s="468"/>
      <c r="I1054" s="468" t="s">
        <v>46</v>
      </c>
      <c r="J1054" s="468"/>
      <c r="K1054" s="468"/>
      <c r="L1054" s="46"/>
      <c r="N1054" s="71"/>
      <c r="O1054" s="72" t="s">
        <v>48</v>
      </c>
      <c r="P1054" s="72">
        <v>29</v>
      </c>
      <c r="Q1054" s="72">
        <v>2</v>
      </c>
      <c r="R1054" s="72">
        <f>R1053-Q1054</f>
        <v>9</v>
      </c>
      <c r="S1054" s="63"/>
      <c r="T1054" s="72" t="s">
        <v>48</v>
      </c>
      <c r="U1054" s="109">
        <f t="shared" si="215"/>
        <v>45000</v>
      </c>
      <c r="V1054" s="74"/>
      <c r="W1054" s="109">
        <f t="shared" ref="W1054:W1063" si="216">IF(U1054="","",U1054+V1054)</f>
        <v>45000</v>
      </c>
      <c r="X1054" s="74">
        <v>5000</v>
      </c>
      <c r="Y1054" s="109">
        <f t="shared" ref="Y1054:Y1063" si="217">IF(W1054="","",W1054-X1054)</f>
        <v>40000</v>
      </c>
      <c r="Z1054" s="76"/>
    </row>
    <row r="1055" spans="1:27" s="29" customFormat="1" ht="21.4" customHeight="1" x14ac:dyDescent="0.2">
      <c r="A1055" s="30"/>
      <c r="H1055" s="47"/>
      <c r="L1055" s="34"/>
      <c r="N1055" s="71"/>
      <c r="O1055" s="72" t="s">
        <v>49</v>
      </c>
      <c r="P1055" s="72">
        <v>29</v>
      </c>
      <c r="Q1055" s="72">
        <v>1</v>
      </c>
      <c r="R1055" s="72"/>
      <c r="S1055" s="63"/>
      <c r="T1055" s="72" t="s">
        <v>49</v>
      </c>
      <c r="U1055" s="109">
        <f t="shared" si="215"/>
        <v>40000</v>
      </c>
      <c r="V1055" s="74"/>
      <c r="W1055" s="109">
        <f t="shared" si="216"/>
        <v>40000</v>
      </c>
      <c r="X1055" s="74">
        <v>5000</v>
      </c>
      <c r="Y1055" s="109">
        <f t="shared" si="217"/>
        <v>35000</v>
      </c>
      <c r="Z1055" s="76"/>
    </row>
    <row r="1056" spans="1:27" s="29" customFormat="1" ht="21.4" customHeight="1" x14ac:dyDescent="0.2">
      <c r="A1056" s="30"/>
      <c r="B1056" s="472" t="s">
        <v>44</v>
      </c>
      <c r="C1056" s="473"/>
      <c r="F1056" s="48" t="s">
        <v>66</v>
      </c>
      <c r="G1056" s="43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23000</v>
      </c>
      <c r="H1056" s="47"/>
      <c r="I1056" s="49">
        <f>IF(C1060&gt;0,$K$2,C1058)</f>
        <v>31</v>
      </c>
      <c r="J1056" s="50" t="s">
        <v>63</v>
      </c>
      <c r="K1056" s="51">
        <f>K1052/$K$2*I1056</f>
        <v>25000</v>
      </c>
      <c r="L1056" s="52"/>
      <c r="N1056" s="71"/>
      <c r="O1056" s="72" t="s">
        <v>50</v>
      </c>
      <c r="P1056" s="72">
        <v>31</v>
      </c>
      <c r="Q1056" s="72">
        <v>0</v>
      </c>
      <c r="R1056" s="72">
        <v>0</v>
      </c>
      <c r="S1056" s="63"/>
      <c r="T1056" s="72" t="s">
        <v>50</v>
      </c>
      <c r="U1056" s="109">
        <f t="shared" si="215"/>
        <v>35000</v>
      </c>
      <c r="V1056" s="74">
        <v>156</v>
      </c>
      <c r="W1056" s="109">
        <f t="shared" si="216"/>
        <v>35156</v>
      </c>
      <c r="X1056" s="74">
        <v>156</v>
      </c>
      <c r="Y1056" s="109">
        <f t="shared" si="217"/>
        <v>35000</v>
      </c>
      <c r="Z1056" s="76"/>
    </row>
    <row r="1057" spans="1:27" s="29" customFormat="1" ht="21.4" customHeight="1" x14ac:dyDescent="0.2">
      <c r="A1057" s="30"/>
      <c r="B1057" s="39"/>
      <c r="C1057" s="39"/>
      <c r="F1057" s="48" t="s">
        <v>22</v>
      </c>
      <c r="G1057" s="43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7"/>
      <c r="I1057" s="84">
        <v>74</v>
      </c>
      <c r="J1057" s="50" t="s">
        <v>64</v>
      </c>
      <c r="K1057" s="53">
        <f>K1052/$K$2/8*I1057</f>
        <v>7459.677419354839</v>
      </c>
      <c r="L1057" s="54"/>
      <c r="N1057" s="71"/>
      <c r="O1057" s="72" t="s">
        <v>51</v>
      </c>
      <c r="P1057" s="72">
        <v>26</v>
      </c>
      <c r="Q1057" s="72">
        <v>4</v>
      </c>
      <c r="R1057" s="72">
        <v>0</v>
      </c>
      <c r="S1057" s="63"/>
      <c r="T1057" s="72" t="s">
        <v>51</v>
      </c>
      <c r="U1057" s="109">
        <f t="shared" si="215"/>
        <v>35000</v>
      </c>
      <c r="V1057" s="74"/>
      <c r="W1057" s="109">
        <f t="shared" si="216"/>
        <v>35000</v>
      </c>
      <c r="X1057" s="74">
        <v>5000</v>
      </c>
      <c r="Y1057" s="109">
        <f t="shared" si="217"/>
        <v>30000</v>
      </c>
      <c r="Z1057" s="76"/>
    </row>
    <row r="1058" spans="1:27" s="29" customFormat="1" ht="21.4" customHeight="1" x14ac:dyDescent="0.2">
      <c r="A1058" s="30"/>
      <c r="B1058" s="48" t="s">
        <v>7</v>
      </c>
      <c r="C1058" s="39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31</v>
      </c>
      <c r="F1058" s="48" t="s">
        <v>67</v>
      </c>
      <c r="G1058" s="43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23000</v>
      </c>
      <c r="H1058" s="47"/>
      <c r="I1058" s="456" t="s">
        <v>71</v>
      </c>
      <c r="J1058" s="457"/>
      <c r="K1058" s="53">
        <f>K1056+K1057</f>
        <v>32459.677419354841</v>
      </c>
      <c r="L1058" s="54"/>
      <c r="N1058" s="71"/>
      <c r="O1058" s="72" t="s">
        <v>52</v>
      </c>
      <c r="P1058" s="72">
        <v>30</v>
      </c>
      <c r="Q1058" s="72">
        <v>1</v>
      </c>
      <c r="R1058" s="72">
        <v>0</v>
      </c>
      <c r="S1058" s="63"/>
      <c r="T1058" s="72" t="s">
        <v>52</v>
      </c>
      <c r="U1058" s="109">
        <f t="shared" si="215"/>
        <v>30000</v>
      </c>
      <c r="V1058" s="74"/>
      <c r="W1058" s="109">
        <f t="shared" si="216"/>
        <v>30000</v>
      </c>
      <c r="X1058" s="74">
        <v>5000</v>
      </c>
      <c r="Y1058" s="109">
        <f t="shared" si="217"/>
        <v>25000</v>
      </c>
      <c r="Z1058" s="76"/>
    </row>
    <row r="1059" spans="1:27" s="29" customFormat="1" ht="21.4" customHeight="1" x14ac:dyDescent="0.2">
      <c r="A1059" s="30"/>
      <c r="B1059" s="48" t="s">
        <v>6</v>
      </c>
      <c r="C1059" s="39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F1059" s="48" t="s">
        <v>23</v>
      </c>
      <c r="G1059" s="43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5000</v>
      </c>
      <c r="H1059" s="47"/>
      <c r="I1059" s="456" t="s">
        <v>72</v>
      </c>
      <c r="J1059" s="457"/>
      <c r="K1059" s="43">
        <f>G1059</f>
        <v>5000</v>
      </c>
      <c r="L1059" s="55"/>
      <c r="N1059" s="71"/>
      <c r="O1059" s="72" t="s">
        <v>53</v>
      </c>
      <c r="P1059" s="72">
        <v>31</v>
      </c>
      <c r="Q1059" s="72">
        <v>0</v>
      </c>
      <c r="R1059" s="72">
        <v>0</v>
      </c>
      <c r="S1059" s="63"/>
      <c r="T1059" s="72" t="s">
        <v>53</v>
      </c>
      <c r="U1059" s="109">
        <f>Y1058</f>
        <v>25000</v>
      </c>
      <c r="V1059" s="74"/>
      <c r="W1059" s="109">
        <f t="shared" si="216"/>
        <v>25000</v>
      </c>
      <c r="X1059" s="74">
        <v>5000</v>
      </c>
      <c r="Y1059" s="109">
        <f t="shared" si="217"/>
        <v>20000</v>
      </c>
      <c r="Z1059" s="76"/>
    </row>
    <row r="1060" spans="1:27" s="29" customFormat="1" ht="21.4" customHeight="1" x14ac:dyDescent="0.2">
      <c r="A1060" s="30"/>
      <c r="B1060" s="56" t="s">
        <v>70</v>
      </c>
      <c r="C1060" s="39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F1060" s="48" t="s">
        <v>69</v>
      </c>
      <c r="G1060" s="43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18000</v>
      </c>
      <c r="I1060" s="458" t="s">
        <v>65</v>
      </c>
      <c r="J1060" s="459"/>
      <c r="K1060" s="57">
        <f>K1058-K1059</f>
        <v>27459.677419354841</v>
      </c>
      <c r="L1060" s="58"/>
      <c r="N1060" s="71"/>
      <c r="O1060" s="72" t="s">
        <v>58</v>
      </c>
      <c r="P1060" s="72">
        <v>29</v>
      </c>
      <c r="Q1060" s="72">
        <v>1</v>
      </c>
      <c r="R1060" s="72">
        <v>0</v>
      </c>
      <c r="S1060" s="63"/>
      <c r="T1060" s="72" t="s">
        <v>58</v>
      </c>
      <c r="U1060" s="109">
        <f>Y1059</f>
        <v>20000</v>
      </c>
      <c r="V1060" s="74">
        <v>3000</v>
      </c>
      <c r="W1060" s="109">
        <f t="shared" si="216"/>
        <v>23000</v>
      </c>
      <c r="X1060" s="74"/>
      <c r="Y1060" s="109">
        <f t="shared" si="217"/>
        <v>23000</v>
      </c>
      <c r="Z1060" s="76"/>
    </row>
    <row r="1061" spans="1:27" s="29" customFormat="1" ht="21.4" customHeight="1" x14ac:dyDescent="0.2">
      <c r="A1061" s="30"/>
      <c r="K1061" s="113"/>
      <c r="L1061" s="46"/>
      <c r="N1061" s="71"/>
      <c r="O1061" s="72" t="s">
        <v>54</v>
      </c>
      <c r="P1061" s="72">
        <v>31</v>
      </c>
      <c r="Q1061" s="72">
        <v>0</v>
      </c>
      <c r="R1061" s="72">
        <v>0</v>
      </c>
      <c r="S1061" s="63"/>
      <c r="T1061" s="72" t="s">
        <v>54</v>
      </c>
      <c r="U1061" s="109">
        <f>Y1060</f>
        <v>23000</v>
      </c>
      <c r="V1061" s="74"/>
      <c r="W1061" s="109">
        <f t="shared" si="216"/>
        <v>23000</v>
      </c>
      <c r="X1061" s="74">
        <v>5000</v>
      </c>
      <c r="Y1061" s="109">
        <f t="shared" si="217"/>
        <v>18000</v>
      </c>
      <c r="Z1061" s="76"/>
    </row>
    <row r="1062" spans="1:27" s="29" customFormat="1" ht="21.4" customHeight="1" x14ac:dyDescent="0.2">
      <c r="A1062" s="30"/>
      <c r="B1062" s="455" t="s">
        <v>94</v>
      </c>
      <c r="C1062" s="455"/>
      <c r="D1062" s="455"/>
      <c r="E1062" s="455"/>
      <c r="F1062" s="455"/>
      <c r="G1062" s="455"/>
      <c r="H1062" s="455"/>
      <c r="I1062" s="455"/>
      <c r="J1062" s="455"/>
      <c r="K1062" s="455"/>
      <c r="L1062" s="46"/>
      <c r="N1062" s="71"/>
      <c r="O1062" s="72" t="s">
        <v>59</v>
      </c>
      <c r="P1062" s="72"/>
      <c r="Q1062" s="72"/>
      <c r="R1062" s="72" t="str">
        <f t="shared" ref="R1062" si="218">IF(Q1062="","",R1061-Q1062)</f>
        <v/>
      </c>
      <c r="S1062" s="63"/>
      <c r="T1062" s="72" t="s">
        <v>59</v>
      </c>
      <c r="U1062" s="109"/>
      <c r="V1062" s="74"/>
      <c r="W1062" s="109" t="str">
        <f t="shared" si="216"/>
        <v/>
      </c>
      <c r="X1062" s="74"/>
      <c r="Y1062" s="109" t="str">
        <f t="shared" si="217"/>
        <v/>
      </c>
      <c r="Z1062" s="76"/>
    </row>
    <row r="1063" spans="1:27" s="29" customFormat="1" ht="21.4" customHeight="1" x14ac:dyDescent="0.2">
      <c r="A1063" s="30"/>
      <c r="B1063" s="455"/>
      <c r="C1063" s="455"/>
      <c r="D1063" s="455"/>
      <c r="E1063" s="455"/>
      <c r="F1063" s="455"/>
      <c r="G1063" s="455"/>
      <c r="H1063" s="455"/>
      <c r="I1063" s="455"/>
      <c r="J1063" s="455"/>
      <c r="K1063" s="455"/>
      <c r="L1063" s="46"/>
      <c r="N1063" s="71"/>
      <c r="O1063" s="72" t="s">
        <v>60</v>
      </c>
      <c r="P1063" s="72"/>
      <c r="Q1063" s="72"/>
      <c r="R1063" s="72">
        <v>0</v>
      </c>
      <c r="S1063" s="63"/>
      <c r="T1063" s="72" t="s">
        <v>60</v>
      </c>
      <c r="U1063" s="109"/>
      <c r="V1063" s="74"/>
      <c r="W1063" s="109" t="str">
        <f t="shared" si="216"/>
        <v/>
      </c>
      <c r="X1063" s="74"/>
      <c r="Y1063" s="109" t="str">
        <f t="shared" si="217"/>
        <v/>
      </c>
      <c r="Z1063" s="76"/>
    </row>
    <row r="1064" spans="1:27" s="29" customFormat="1" ht="21.4" customHeight="1" thickBot="1" x14ac:dyDescent="0.25">
      <c r="A1064" s="59"/>
      <c r="B1064" s="60"/>
      <c r="C1064" s="60"/>
      <c r="D1064" s="60"/>
      <c r="E1064" s="60"/>
      <c r="F1064" s="60"/>
      <c r="G1064" s="60"/>
      <c r="H1064" s="60"/>
      <c r="I1064" s="60"/>
      <c r="J1064" s="60"/>
      <c r="K1064" s="60"/>
      <c r="L1064" s="61"/>
      <c r="N1064" s="77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9"/>
    </row>
    <row r="1065" spans="1:27" s="29" customFormat="1" ht="21" customHeight="1" thickBot="1" x14ac:dyDescent="0.25"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  <c r="Y1065" s="63"/>
      <c r="Z1065" s="63"/>
    </row>
    <row r="1066" spans="1:27" s="29" customFormat="1" ht="21.4" hidden="1" customHeight="1" x14ac:dyDescent="0.2">
      <c r="A1066" s="474" t="s">
        <v>42</v>
      </c>
      <c r="B1066" s="475"/>
      <c r="C1066" s="475"/>
      <c r="D1066" s="475"/>
      <c r="E1066" s="475"/>
      <c r="F1066" s="475"/>
      <c r="G1066" s="475"/>
      <c r="H1066" s="475"/>
      <c r="I1066" s="475"/>
      <c r="J1066" s="475"/>
      <c r="K1066" s="475"/>
      <c r="L1066" s="476"/>
      <c r="M1066" s="28"/>
      <c r="N1066" s="64"/>
      <c r="O1066" s="469" t="s">
        <v>44</v>
      </c>
      <c r="P1066" s="470"/>
      <c r="Q1066" s="470"/>
      <c r="R1066" s="471"/>
      <c r="S1066" s="65"/>
      <c r="T1066" s="469" t="s">
        <v>45</v>
      </c>
      <c r="U1066" s="470"/>
      <c r="V1066" s="470"/>
      <c r="W1066" s="470"/>
      <c r="X1066" s="470"/>
      <c r="Y1066" s="471"/>
      <c r="Z1066" s="66"/>
      <c r="AA1066" s="28"/>
    </row>
    <row r="1067" spans="1:27" s="29" customFormat="1" ht="21.4" hidden="1" customHeight="1" x14ac:dyDescent="0.2">
      <c r="A1067" s="30"/>
      <c r="C1067" s="466" t="s">
        <v>92</v>
      </c>
      <c r="D1067" s="466"/>
      <c r="E1067" s="466"/>
      <c r="F1067" s="466"/>
      <c r="G1067" s="31" t="str">
        <f>$J$1</f>
        <v>October</v>
      </c>
      <c r="H1067" s="467">
        <f>$K$1</f>
        <v>2022</v>
      </c>
      <c r="I1067" s="467"/>
      <c r="K1067" s="32"/>
      <c r="L1067" s="33"/>
      <c r="M1067" s="32"/>
      <c r="N1067" s="67"/>
      <c r="O1067" s="68" t="s">
        <v>55</v>
      </c>
      <c r="P1067" s="68" t="s">
        <v>7</v>
      </c>
      <c r="Q1067" s="68" t="s">
        <v>6</v>
      </c>
      <c r="R1067" s="68" t="s">
        <v>56</v>
      </c>
      <c r="S1067" s="69"/>
      <c r="T1067" s="68" t="s">
        <v>55</v>
      </c>
      <c r="U1067" s="68" t="s">
        <v>57</v>
      </c>
      <c r="V1067" s="68" t="s">
        <v>22</v>
      </c>
      <c r="W1067" s="68" t="s">
        <v>21</v>
      </c>
      <c r="X1067" s="68" t="s">
        <v>23</v>
      </c>
      <c r="Y1067" s="68" t="s">
        <v>61</v>
      </c>
      <c r="Z1067" s="70"/>
      <c r="AA1067" s="32"/>
    </row>
    <row r="1068" spans="1:27" s="29" customFormat="1" ht="21.4" hidden="1" customHeight="1" x14ac:dyDescent="0.2">
      <c r="A1068" s="30"/>
      <c r="D1068" s="35"/>
      <c r="E1068" s="35"/>
      <c r="F1068" s="35"/>
      <c r="G1068" s="35"/>
      <c r="H1068" s="35"/>
      <c r="J1068" s="36" t="s">
        <v>1</v>
      </c>
      <c r="K1068" s="37"/>
      <c r="L1068" s="38"/>
      <c r="N1068" s="71"/>
      <c r="O1068" s="72" t="s">
        <v>47</v>
      </c>
      <c r="P1068" s="72"/>
      <c r="Q1068" s="72"/>
      <c r="R1068" s="72">
        <v>15</v>
      </c>
      <c r="S1068" s="73"/>
      <c r="T1068" s="72" t="s">
        <v>47</v>
      </c>
      <c r="U1068" s="74"/>
      <c r="V1068" s="74"/>
      <c r="W1068" s="74">
        <f>V1068+U1068</f>
        <v>0</v>
      </c>
      <c r="X1068" s="74"/>
      <c r="Y1068" s="74">
        <f>W1068-X1068</f>
        <v>0</v>
      </c>
      <c r="Z1068" s="70"/>
    </row>
    <row r="1069" spans="1:27" s="29" customFormat="1" ht="21.4" hidden="1" customHeight="1" x14ac:dyDescent="0.2">
      <c r="A1069" s="30"/>
      <c r="B1069" s="29" t="s">
        <v>0</v>
      </c>
      <c r="C1069" s="40"/>
      <c r="H1069" s="41"/>
      <c r="I1069" s="35"/>
      <c r="L1069" s="42"/>
      <c r="M1069" s="28"/>
      <c r="N1069" s="75"/>
      <c r="O1069" s="72" t="s">
        <v>73</v>
      </c>
      <c r="P1069" s="72"/>
      <c r="Q1069" s="72"/>
      <c r="R1069" s="72">
        <f>R1068-Q1069</f>
        <v>15</v>
      </c>
      <c r="S1069" s="63"/>
      <c r="T1069" s="72" t="s">
        <v>73</v>
      </c>
      <c r="U1069" s="109">
        <f>IF($J$1="January","",Y1068)</f>
        <v>0</v>
      </c>
      <c r="V1069" s="74"/>
      <c r="W1069" s="109">
        <f>IF(U1069="","",U1069+V1069)</f>
        <v>0</v>
      </c>
      <c r="X1069" s="74"/>
      <c r="Y1069" s="109">
        <f>IF(W1069="","",W1069-X1069)</f>
        <v>0</v>
      </c>
      <c r="Z1069" s="76"/>
      <c r="AA1069" s="28"/>
    </row>
    <row r="1070" spans="1:27" s="29" customFormat="1" ht="21.4" hidden="1" customHeight="1" x14ac:dyDescent="0.2">
      <c r="A1070" s="30"/>
      <c r="B1070" s="44" t="s">
        <v>43</v>
      </c>
      <c r="C1070" s="45"/>
      <c r="F1070" s="468" t="s">
        <v>45</v>
      </c>
      <c r="G1070" s="468"/>
      <c r="I1070" s="468" t="s">
        <v>46</v>
      </c>
      <c r="J1070" s="468"/>
      <c r="K1070" s="468"/>
      <c r="L1070" s="46"/>
      <c r="N1070" s="71"/>
      <c r="O1070" s="72" t="s">
        <v>48</v>
      </c>
      <c r="P1070" s="72"/>
      <c r="Q1070" s="72"/>
      <c r="R1070" s="72">
        <f>R1069-Q1070</f>
        <v>15</v>
      </c>
      <c r="S1070" s="63"/>
      <c r="T1070" s="72" t="s">
        <v>48</v>
      </c>
      <c r="U1070" s="109">
        <f>IF($J$1="February","",Y1069)</f>
        <v>0</v>
      </c>
      <c r="V1070" s="74"/>
      <c r="W1070" s="109">
        <f t="shared" ref="W1070:W1079" si="219">IF(U1070="","",U1070+V1070)</f>
        <v>0</v>
      </c>
      <c r="X1070" s="74"/>
      <c r="Y1070" s="109">
        <f t="shared" ref="Y1070:Y1079" si="220">IF(W1070="","",W1070-X1070)</f>
        <v>0</v>
      </c>
      <c r="Z1070" s="76"/>
    </row>
    <row r="1071" spans="1:27" s="29" customFormat="1" ht="21.4" hidden="1" customHeight="1" x14ac:dyDescent="0.2">
      <c r="A1071" s="30"/>
      <c r="H1071" s="47"/>
      <c r="L1071" s="34"/>
      <c r="N1071" s="71"/>
      <c r="O1071" s="72" t="s">
        <v>49</v>
      </c>
      <c r="P1071" s="72"/>
      <c r="Q1071" s="72"/>
      <c r="R1071" s="72">
        <v>0</v>
      </c>
      <c r="S1071" s="63"/>
      <c r="T1071" s="72" t="s">
        <v>49</v>
      </c>
      <c r="U1071" s="109">
        <f>IF($J$1="March","",Y1070)</f>
        <v>0</v>
      </c>
      <c r="V1071" s="74"/>
      <c r="W1071" s="109">
        <f t="shared" si="219"/>
        <v>0</v>
      </c>
      <c r="X1071" s="74"/>
      <c r="Y1071" s="109">
        <f t="shared" si="220"/>
        <v>0</v>
      </c>
      <c r="Z1071" s="76"/>
    </row>
    <row r="1072" spans="1:27" s="29" customFormat="1" ht="21.4" hidden="1" customHeight="1" x14ac:dyDescent="0.2">
      <c r="A1072" s="30"/>
      <c r="B1072" s="472" t="s">
        <v>44</v>
      </c>
      <c r="C1072" s="473"/>
      <c r="F1072" s="48" t="s">
        <v>66</v>
      </c>
      <c r="G1072" s="43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7"/>
      <c r="I1072" s="49">
        <f>IF(C1076&gt;0,$K$2,C1074)</f>
        <v>0</v>
      </c>
      <c r="J1072" s="50" t="s">
        <v>63</v>
      </c>
      <c r="K1072" s="361">
        <f>K1068/$K$2*I1072</f>
        <v>0</v>
      </c>
      <c r="L1072" s="52"/>
      <c r="N1072" s="71"/>
      <c r="O1072" s="72" t="s">
        <v>50</v>
      </c>
      <c r="P1072" s="72"/>
      <c r="Q1072" s="72"/>
      <c r="R1072" s="72">
        <v>0</v>
      </c>
      <c r="S1072" s="63"/>
      <c r="T1072" s="72" t="s">
        <v>50</v>
      </c>
      <c r="U1072" s="109">
        <f>IF($J$1="April","",Y1071)</f>
        <v>0</v>
      </c>
      <c r="V1072" s="74"/>
      <c r="W1072" s="109">
        <f t="shared" si="219"/>
        <v>0</v>
      </c>
      <c r="X1072" s="74"/>
      <c r="Y1072" s="109">
        <f t="shared" si="220"/>
        <v>0</v>
      </c>
      <c r="Z1072" s="76"/>
    </row>
    <row r="1073" spans="1:27" s="29" customFormat="1" ht="21.4" hidden="1" customHeight="1" x14ac:dyDescent="0.2">
      <c r="A1073" s="30"/>
      <c r="B1073" s="39"/>
      <c r="C1073" s="39"/>
      <c r="F1073" s="48" t="s">
        <v>22</v>
      </c>
      <c r="G1073" s="43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7"/>
      <c r="I1073" s="84"/>
      <c r="J1073" s="50" t="s">
        <v>64</v>
      </c>
      <c r="K1073" s="53">
        <f>K1068/$K$2/8*I1073</f>
        <v>0</v>
      </c>
      <c r="L1073" s="54"/>
      <c r="N1073" s="71"/>
      <c r="O1073" s="72" t="s">
        <v>51</v>
      </c>
      <c r="P1073" s="72"/>
      <c r="Q1073" s="72"/>
      <c r="R1073" s="72">
        <v>0</v>
      </c>
      <c r="S1073" s="63"/>
      <c r="T1073" s="72" t="s">
        <v>51</v>
      </c>
      <c r="U1073" s="109">
        <f>IF($J$1="May","",Y1072)</f>
        <v>0</v>
      </c>
      <c r="V1073" s="74"/>
      <c r="W1073" s="109">
        <f t="shared" si="219"/>
        <v>0</v>
      </c>
      <c r="X1073" s="74"/>
      <c r="Y1073" s="109">
        <f t="shared" si="220"/>
        <v>0</v>
      </c>
      <c r="Z1073" s="76"/>
    </row>
    <row r="1074" spans="1:27" s="29" customFormat="1" ht="21.4" hidden="1" customHeight="1" x14ac:dyDescent="0.2">
      <c r="A1074" s="30"/>
      <c r="B1074" s="48" t="s">
        <v>7</v>
      </c>
      <c r="C1074" s="39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0</v>
      </c>
      <c r="F1074" s="48" t="s">
        <v>67</v>
      </c>
      <c r="G1074" s="43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7"/>
      <c r="I1074" s="456" t="s">
        <v>71</v>
      </c>
      <c r="J1074" s="457"/>
      <c r="K1074" s="53">
        <f>K1072+K1073</f>
        <v>0</v>
      </c>
      <c r="L1074" s="54"/>
      <c r="N1074" s="71"/>
      <c r="O1074" s="72" t="s">
        <v>52</v>
      </c>
      <c r="P1074" s="72"/>
      <c r="Q1074" s="72"/>
      <c r="R1074" s="72">
        <v>0</v>
      </c>
      <c r="S1074" s="63"/>
      <c r="T1074" s="72" t="s">
        <v>52</v>
      </c>
      <c r="U1074" s="109">
        <f>IF($J$1="June","",Y1073)</f>
        <v>0</v>
      </c>
      <c r="V1074" s="74"/>
      <c r="W1074" s="109">
        <f t="shared" si="219"/>
        <v>0</v>
      </c>
      <c r="X1074" s="74"/>
      <c r="Y1074" s="109">
        <f t="shared" si="220"/>
        <v>0</v>
      </c>
      <c r="Z1074" s="76"/>
    </row>
    <row r="1075" spans="1:27" s="29" customFormat="1" ht="21.4" hidden="1" customHeight="1" x14ac:dyDescent="0.2">
      <c r="A1075" s="30"/>
      <c r="B1075" s="48" t="s">
        <v>6</v>
      </c>
      <c r="C1075" s="39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F1075" s="48" t="s">
        <v>23</v>
      </c>
      <c r="G1075" s="43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7"/>
      <c r="I1075" s="456" t="s">
        <v>72</v>
      </c>
      <c r="J1075" s="457"/>
      <c r="K1075" s="43">
        <f>G1075</f>
        <v>0</v>
      </c>
      <c r="L1075" s="55"/>
      <c r="N1075" s="71"/>
      <c r="O1075" s="72" t="s">
        <v>53</v>
      </c>
      <c r="P1075" s="72"/>
      <c r="Q1075" s="72"/>
      <c r="R1075" s="72">
        <v>0</v>
      </c>
      <c r="S1075" s="63"/>
      <c r="T1075" s="72" t="s">
        <v>53</v>
      </c>
      <c r="U1075" s="109">
        <f>IF($J$1="July","",Y1074)</f>
        <v>0</v>
      </c>
      <c r="V1075" s="74"/>
      <c r="W1075" s="109">
        <f t="shared" si="219"/>
        <v>0</v>
      </c>
      <c r="X1075" s="74"/>
      <c r="Y1075" s="109">
        <f t="shared" si="220"/>
        <v>0</v>
      </c>
      <c r="Z1075" s="76"/>
    </row>
    <row r="1076" spans="1:27" s="29" customFormat="1" ht="21.4" hidden="1" customHeight="1" x14ac:dyDescent="0.2">
      <c r="A1076" s="30"/>
      <c r="B1076" s="56" t="s">
        <v>70</v>
      </c>
      <c r="C1076" s="39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F1076" s="48" t="s">
        <v>69</v>
      </c>
      <c r="G1076" s="43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I1076" s="458" t="s">
        <v>65</v>
      </c>
      <c r="J1076" s="459"/>
      <c r="K1076" s="57"/>
      <c r="L1076" s="58"/>
      <c r="N1076" s="71"/>
      <c r="O1076" s="72" t="s">
        <v>58</v>
      </c>
      <c r="P1076" s="72"/>
      <c r="Q1076" s="72"/>
      <c r="R1076" s="72">
        <v>0</v>
      </c>
      <c r="S1076" s="63"/>
      <c r="T1076" s="72" t="s">
        <v>58</v>
      </c>
      <c r="U1076" s="109">
        <f>IF($J$1="August","",Y1075)</f>
        <v>0</v>
      </c>
      <c r="V1076" s="74"/>
      <c r="W1076" s="109">
        <f t="shared" si="219"/>
        <v>0</v>
      </c>
      <c r="X1076" s="74"/>
      <c r="Y1076" s="109">
        <f t="shared" si="220"/>
        <v>0</v>
      </c>
      <c r="Z1076" s="76"/>
    </row>
    <row r="1077" spans="1:27" s="29" customFormat="1" ht="21.4" hidden="1" customHeight="1" x14ac:dyDescent="0.2">
      <c r="A1077" s="30"/>
      <c r="J1077" s="47"/>
      <c r="K1077" s="113"/>
      <c r="L1077" s="46"/>
      <c r="N1077" s="71"/>
      <c r="O1077" s="72" t="s">
        <v>54</v>
      </c>
      <c r="P1077" s="72"/>
      <c r="Q1077" s="72"/>
      <c r="R1077" s="72">
        <v>0</v>
      </c>
      <c r="S1077" s="63"/>
      <c r="T1077" s="72" t="s">
        <v>54</v>
      </c>
      <c r="U1077" s="109">
        <f>IF($J$1="September","",Y1076)</f>
        <v>0</v>
      </c>
      <c r="V1077" s="74"/>
      <c r="W1077" s="109">
        <f t="shared" si="219"/>
        <v>0</v>
      </c>
      <c r="X1077" s="74"/>
      <c r="Y1077" s="109">
        <f t="shared" si="220"/>
        <v>0</v>
      </c>
      <c r="Z1077" s="76"/>
    </row>
    <row r="1078" spans="1:27" s="29" customFormat="1" ht="21.4" hidden="1" customHeight="1" x14ac:dyDescent="0.2">
      <c r="A1078" s="30"/>
      <c r="B1078" s="455" t="s">
        <v>94</v>
      </c>
      <c r="C1078" s="455"/>
      <c r="D1078" s="455"/>
      <c r="E1078" s="455"/>
      <c r="F1078" s="455"/>
      <c r="G1078" s="455"/>
      <c r="H1078" s="455"/>
      <c r="I1078" s="455"/>
      <c r="J1078" s="455"/>
      <c r="K1078" s="455"/>
      <c r="L1078" s="46"/>
      <c r="N1078" s="71"/>
      <c r="O1078" s="72" t="s">
        <v>59</v>
      </c>
      <c r="P1078" s="72"/>
      <c r="Q1078" s="72"/>
      <c r="R1078" s="72" t="str">
        <f t="shared" ref="R1078" si="221">IF(Q1078="","",R1077-Q1078)</f>
        <v/>
      </c>
      <c r="S1078" s="63"/>
      <c r="T1078" s="72" t="s">
        <v>59</v>
      </c>
      <c r="U1078" s="109" t="str">
        <f>IF($J$1="October","",Y1077)</f>
        <v/>
      </c>
      <c r="V1078" s="74"/>
      <c r="W1078" s="109" t="str">
        <f t="shared" si="219"/>
        <v/>
      </c>
      <c r="X1078" s="74"/>
      <c r="Y1078" s="109" t="str">
        <f t="shared" si="220"/>
        <v/>
      </c>
      <c r="Z1078" s="76"/>
    </row>
    <row r="1079" spans="1:27" s="29" customFormat="1" ht="21.4" hidden="1" customHeight="1" x14ac:dyDescent="0.2">
      <c r="A1079" s="30"/>
      <c r="B1079" s="455"/>
      <c r="C1079" s="455"/>
      <c r="D1079" s="455"/>
      <c r="E1079" s="455"/>
      <c r="F1079" s="455"/>
      <c r="G1079" s="455"/>
      <c r="H1079" s="455"/>
      <c r="I1079" s="455"/>
      <c r="J1079" s="455"/>
      <c r="K1079" s="455"/>
      <c r="L1079" s="46"/>
      <c r="N1079" s="71"/>
      <c r="O1079" s="72" t="s">
        <v>60</v>
      </c>
      <c r="P1079" s="72"/>
      <c r="Q1079" s="72"/>
      <c r="R1079" s="72">
        <v>0</v>
      </c>
      <c r="S1079" s="63"/>
      <c r="T1079" s="72" t="s">
        <v>60</v>
      </c>
      <c r="U1079" s="109" t="str">
        <f>IF($J$1="November","",Y1078)</f>
        <v/>
      </c>
      <c r="V1079" s="74"/>
      <c r="W1079" s="109" t="str">
        <f t="shared" si="219"/>
        <v/>
      </c>
      <c r="X1079" s="74"/>
      <c r="Y1079" s="109" t="str">
        <f t="shared" si="220"/>
        <v/>
      </c>
      <c r="Z1079" s="76"/>
    </row>
    <row r="1080" spans="1:27" s="29" customFormat="1" ht="21.4" hidden="1" customHeight="1" thickBot="1" x14ac:dyDescent="0.25">
      <c r="A1080" s="59"/>
      <c r="B1080" s="60"/>
      <c r="C1080" s="60"/>
      <c r="D1080" s="60"/>
      <c r="E1080" s="60"/>
      <c r="F1080" s="60"/>
      <c r="G1080" s="60"/>
      <c r="H1080" s="60"/>
      <c r="I1080" s="60"/>
      <c r="J1080" s="60"/>
      <c r="K1080" s="60"/>
      <c r="L1080" s="61"/>
      <c r="N1080" s="77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9"/>
    </row>
    <row r="1081" spans="1:27" s="29" customFormat="1" ht="21" hidden="1" customHeight="1" thickBot="1" x14ac:dyDescent="0.25">
      <c r="N1081" s="63"/>
      <c r="O1081" s="63"/>
      <c r="P1081" s="63"/>
      <c r="Q1081" s="63"/>
      <c r="R1081" s="63"/>
      <c r="S1081" s="63"/>
      <c r="T1081" s="63"/>
      <c r="U1081" s="63"/>
      <c r="V1081" s="63"/>
      <c r="W1081" s="63"/>
      <c r="X1081" s="63"/>
      <c r="Y1081" s="63"/>
      <c r="Z1081" s="63"/>
    </row>
    <row r="1082" spans="1:27" s="29" customFormat="1" ht="21" customHeight="1" x14ac:dyDescent="0.2">
      <c r="A1082" s="460" t="s">
        <v>42</v>
      </c>
      <c r="B1082" s="461"/>
      <c r="C1082" s="461"/>
      <c r="D1082" s="461"/>
      <c r="E1082" s="461"/>
      <c r="F1082" s="461"/>
      <c r="G1082" s="461"/>
      <c r="H1082" s="461"/>
      <c r="I1082" s="461"/>
      <c r="J1082" s="461"/>
      <c r="K1082" s="461"/>
      <c r="L1082" s="462"/>
      <c r="M1082" s="28"/>
      <c r="N1082" s="64"/>
      <c r="O1082" s="469" t="s">
        <v>44</v>
      </c>
      <c r="P1082" s="470"/>
      <c r="Q1082" s="470"/>
      <c r="R1082" s="471"/>
      <c r="S1082" s="65"/>
      <c r="T1082" s="469" t="s">
        <v>45</v>
      </c>
      <c r="U1082" s="470"/>
      <c r="V1082" s="470"/>
      <c r="W1082" s="470"/>
      <c r="X1082" s="470"/>
      <c r="Y1082" s="471"/>
      <c r="Z1082" s="66"/>
      <c r="AA1082" s="28"/>
    </row>
    <row r="1083" spans="1:27" s="29" customFormat="1" ht="21" customHeight="1" x14ac:dyDescent="0.2">
      <c r="A1083" s="30"/>
      <c r="C1083" s="466" t="s">
        <v>92</v>
      </c>
      <c r="D1083" s="466"/>
      <c r="E1083" s="466"/>
      <c r="F1083" s="466"/>
      <c r="G1083" s="31" t="str">
        <f>$J$1</f>
        <v>October</v>
      </c>
      <c r="H1083" s="467">
        <f>$K$1</f>
        <v>2022</v>
      </c>
      <c r="I1083" s="467"/>
      <c r="K1083" s="32"/>
      <c r="L1083" s="33"/>
      <c r="M1083" s="32"/>
      <c r="N1083" s="67"/>
      <c r="O1083" s="68" t="s">
        <v>55</v>
      </c>
      <c r="P1083" s="68" t="s">
        <v>7</v>
      </c>
      <c r="Q1083" s="68" t="s">
        <v>6</v>
      </c>
      <c r="R1083" s="68" t="s">
        <v>56</v>
      </c>
      <c r="S1083" s="69"/>
      <c r="T1083" s="68" t="s">
        <v>55</v>
      </c>
      <c r="U1083" s="68" t="s">
        <v>57</v>
      </c>
      <c r="V1083" s="68" t="s">
        <v>22</v>
      </c>
      <c r="W1083" s="68" t="s">
        <v>21</v>
      </c>
      <c r="X1083" s="68" t="s">
        <v>23</v>
      </c>
      <c r="Y1083" s="68" t="s">
        <v>61</v>
      </c>
      <c r="Z1083" s="70"/>
      <c r="AA1083" s="32"/>
    </row>
    <row r="1084" spans="1:27" s="29" customFormat="1" ht="21" customHeight="1" x14ac:dyDescent="0.2">
      <c r="A1084" s="30"/>
      <c r="D1084" s="35"/>
      <c r="E1084" s="35"/>
      <c r="F1084" s="35"/>
      <c r="G1084" s="35"/>
      <c r="H1084" s="35"/>
      <c r="J1084" s="36" t="s">
        <v>1</v>
      </c>
      <c r="K1084" s="155">
        <v>32500</v>
      </c>
      <c r="L1084" s="38"/>
      <c r="N1084" s="71"/>
      <c r="O1084" s="72" t="s">
        <v>47</v>
      </c>
      <c r="P1084" s="72">
        <v>29</v>
      </c>
      <c r="Q1084" s="72">
        <v>2</v>
      </c>
      <c r="R1084" s="72">
        <v>0</v>
      </c>
      <c r="S1084" s="73"/>
      <c r="T1084" s="72" t="s">
        <v>47</v>
      </c>
      <c r="U1084" s="74"/>
      <c r="V1084" s="74"/>
      <c r="W1084" s="74">
        <f>V1084+U1084</f>
        <v>0</v>
      </c>
      <c r="X1084" s="74"/>
      <c r="Y1084" s="74">
        <f>W1084-X1084</f>
        <v>0</v>
      </c>
      <c r="Z1084" s="70"/>
    </row>
    <row r="1085" spans="1:27" s="29" customFormat="1" ht="21" customHeight="1" x14ac:dyDescent="0.2">
      <c r="A1085" s="30"/>
      <c r="B1085" s="29" t="s">
        <v>0</v>
      </c>
      <c r="C1085" s="40" t="s">
        <v>225</v>
      </c>
      <c r="H1085" s="41"/>
      <c r="I1085" s="35"/>
      <c r="L1085" s="42"/>
      <c r="M1085" s="28"/>
      <c r="N1085" s="75"/>
      <c r="O1085" s="72" t="s">
        <v>73</v>
      </c>
      <c r="P1085" s="72">
        <v>21</v>
      </c>
      <c r="Q1085" s="72">
        <v>7</v>
      </c>
      <c r="R1085" s="72">
        <v>0</v>
      </c>
      <c r="S1085" s="63"/>
      <c r="T1085" s="72" t="s">
        <v>73</v>
      </c>
      <c r="U1085" s="109">
        <f>IF($J$1="January","",Y1084)</f>
        <v>0</v>
      </c>
      <c r="V1085" s="74"/>
      <c r="W1085" s="109">
        <f>IF(U1085="","",U1085+V1085)</f>
        <v>0</v>
      </c>
      <c r="X1085" s="74"/>
      <c r="Y1085" s="109">
        <f>IF(W1085="","",W1085-X1085)</f>
        <v>0</v>
      </c>
      <c r="Z1085" s="76"/>
      <c r="AA1085" s="28"/>
    </row>
    <row r="1086" spans="1:27" s="29" customFormat="1" ht="21" customHeight="1" x14ac:dyDescent="0.2">
      <c r="A1086" s="30"/>
      <c r="B1086" s="44" t="s">
        <v>43</v>
      </c>
      <c r="C1086" s="45"/>
      <c r="F1086" s="468" t="s">
        <v>45</v>
      </c>
      <c r="G1086" s="468"/>
      <c r="I1086" s="468" t="s">
        <v>46</v>
      </c>
      <c r="J1086" s="468"/>
      <c r="K1086" s="468"/>
      <c r="L1086" s="46"/>
      <c r="N1086" s="71"/>
      <c r="O1086" s="72" t="s">
        <v>48</v>
      </c>
      <c r="P1086" s="72">
        <v>27</v>
      </c>
      <c r="Q1086" s="72">
        <v>4</v>
      </c>
      <c r="R1086" s="72">
        <v>0</v>
      </c>
      <c r="S1086" s="63"/>
      <c r="T1086" s="72" t="s">
        <v>48</v>
      </c>
      <c r="U1086" s="109">
        <f>IF($J$1="February","",Y1085)</f>
        <v>0</v>
      </c>
      <c r="V1086" s="74"/>
      <c r="W1086" s="109">
        <f t="shared" ref="W1086:W1095" si="222">IF(U1086="","",U1086+V1086)</f>
        <v>0</v>
      </c>
      <c r="X1086" s="74"/>
      <c r="Y1086" s="109">
        <f t="shared" ref="Y1086:Y1095" si="223">IF(W1086="","",W1086-X1086)</f>
        <v>0</v>
      </c>
      <c r="Z1086" s="76"/>
    </row>
    <row r="1087" spans="1:27" s="29" customFormat="1" ht="21" customHeight="1" x14ac:dyDescent="0.2">
      <c r="A1087" s="30"/>
      <c r="H1087" s="47"/>
      <c r="L1087" s="34"/>
      <c r="N1087" s="71"/>
      <c r="O1087" s="72" t="s">
        <v>49</v>
      </c>
      <c r="P1087" s="72">
        <v>30</v>
      </c>
      <c r="Q1087" s="72">
        <v>0</v>
      </c>
      <c r="R1087" s="72">
        <v>0</v>
      </c>
      <c r="S1087" s="63"/>
      <c r="T1087" s="72" t="s">
        <v>49</v>
      </c>
      <c r="U1087" s="109">
        <f>IF($J$1="March","",Y1086)</f>
        <v>0</v>
      </c>
      <c r="V1087" s="74"/>
      <c r="W1087" s="109">
        <f t="shared" si="222"/>
        <v>0</v>
      </c>
      <c r="X1087" s="74"/>
      <c r="Y1087" s="109">
        <f t="shared" si="223"/>
        <v>0</v>
      </c>
      <c r="Z1087" s="76"/>
    </row>
    <row r="1088" spans="1:27" s="29" customFormat="1" ht="21" customHeight="1" x14ac:dyDescent="0.2">
      <c r="A1088" s="30"/>
      <c r="B1088" s="472" t="s">
        <v>44</v>
      </c>
      <c r="C1088" s="473"/>
      <c r="F1088" s="48" t="s">
        <v>66</v>
      </c>
      <c r="G1088" s="43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7"/>
      <c r="I1088" s="49">
        <f>IF(C1092&gt;0,$K$2,C1090)</f>
        <v>31</v>
      </c>
      <c r="J1088" s="50" t="s">
        <v>63</v>
      </c>
      <c r="K1088" s="51">
        <f>K1084/$K$2*I1088</f>
        <v>32500.000000000004</v>
      </c>
      <c r="L1088" s="52"/>
      <c r="N1088" s="71"/>
      <c r="O1088" s="72" t="s">
        <v>50</v>
      </c>
      <c r="P1088" s="72">
        <v>28</v>
      </c>
      <c r="Q1088" s="72">
        <v>3</v>
      </c>
      <c r="R1088" s="72">
        <v>0</v>
      </c>
      <c r="S1088" s="63"/>
      <c r="T1088" s="72" t="s">
        <v>50</v>
      </c>
      <c r="U1088" s="109">
        <f>IF($J$1="April","",Y1087)</f>
        <v>0</v>
      </c>
      <c r="V1088" s="74"/>
      <c r="W1088" s="109">
        <f t="shared" si="222"/>
        <v>0</v>
      </c>
      <c r="X1088" s="74"/>
      <c r="Y1088" s="109">
        <f t="shared" si="223"/>
        <v>0</v>
      </c>
      <c r="Z1088" s="76"/>
    </row>
    <row r="1089" spans="1:26" s="29" customFormat="1" ht="21" customHeight="1" x14ac:dyDescent="0.2">
      <c r="A1089" s="30"/>
      <c r="B1089" s="39"/>
      <c r="C1089" s="39"/>
      <c r="F1089" s="48" t="s">
        <v>22</v>
      </c>
      <c r="G1089" s="43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7"/>
      <c r="I1089" s="84">
        <v>14</v>
      </c>
      <c r="J1089" s="50" t="s">
        <v>64</v>
      </c>
      <c r="K1089" s="53">
        <f>K1084/$K$2/8*I1089</f>
        <v>1834.677419354839</v>
      </c>
      <c r="L1089" s="54"/>
      <c r="N1089" s="71"/>
      <c r="O1089" s="72" t="s">
        <v>51</v>
      </c>
      <c r="P1089" s="72">
        <v>24</v>
      </c>
      <c r="Q1089" s="72">
        <v>6</v>
      </c>
      <c r="R1089" s="72">
        <v>0</v>
      </c>
      <c r="S1089" s="63"/>
      <c r="T1089" s="72" t="s">
        <v>51</v>
      </c>
      <c r="U1089" s="109">
        <f>IF($J$1="May","",Y1088)</f>
        <v>0</v>
      </c>
      <c r="V1089" s="74"/>
      <c r="W1089" s="109">
        <f t="shared" si="222"/>
        <v>0</v>
      </c>
      <c r="X1089" s="74"/>
      <c r="Y1089" s="109">
        <f t="shared" si="223"/>
        <v>0</v>
      </c>
      <c r="Z1089" s="76"/>
    </row>
    <row r="1090" spans="1:26" s="29" customFormat="1" ht="21" customHeight="1" x14ac:dyDescent="0.2">
      <c r="A1090" s="30"/>
      <c r="B1090" s="48" t="s">
        <v>7</v>
      </c>
      <c r="C1090" s="39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31</v>
      </c>
      <c r="F1090" s="48" t="s">
        <v>67</v>
      </c>
      <c r="G1090" s="43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7"/>
      <c r="I1090" s="456" t="s">
        <v>71</v>
      </c>
      <c r="J1090" s="457"/>
      <c r="K1090" s="53">
        <f>K1088+K1089</f>
        <v>34334.677419354841</v>
      </c>
      <c r="L1090" s="54"/>
      <c r="N1090" s="71"/>
      <c r="O1090" s="72" t="s">
        <v>52</v>
      </c>
      <c r="P1090" s="72">
        <v>27</v>
      </c>
      <c r="Q1090" s="72">
        <v>4</v>
      </c>
      <c r="R1090" s="72">
        <v>0</v>
      </c>
      <c r="S1090" s="63"/>
      <c r="T1090" s="72" t="s">
        <v>52</v>
      </c>
      <c r="U1090" s="109">
        <f>IF($J$1="June","",Y1089)</f>
        <v>0</v>
      </c>
      <c r="V1090" s="74"/>
      <c r="W1090" s="109">
        <f t="shared" si="222"/>
        <v>0</v>
      </c>
      <c r="X1090" s="74"/>
      <c r="Y1090" s="109">
        <f t="shared" si="223"/>
        <v>0</v>
      </c>
      <c r="Z1090" s="76"/>
    </row>
    <row r="1091" spans="1:26" s="29" customFormat="1" ht="21" customHeight="1" x14ac:dyDescent="0.2">
      <c r="A1091" s="30"/>
      <c r="B1091" s="48" t="s">
        <v>6</v>
      </c>
      <c r="C1091" s="39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F1091" s="48" t="s">
        <v>23</v>
      </c>
      <c r="G1091" s="43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7"/>
      <c r="I1091" s="456" t="s">
        <v>72</v>
      </c>
      <c r="J1091" s="457"/>
      <c r="K1091" s="43">
        <f>G1091</f>
        <v>0</v>
      </c>
      <c r="L1091" s="55"/>
      <c r="N1091" s="71"/>
      <c r="O1091" s="72" t="s">
        <v>53</v>
      </c>
      <c r="P1091" s="72">
        <v>28</v>
      </c>
      <c r="Q1091" s="72">
        <v>3</v>
      </c>
      <c r="R1091" s="72">
        <v>0</v>
      </c>
      <c r="S1091" s="63"/>
      <c r="T1091" s="72" t="s">
        <v>53</v>
      </c>
      <c r="U1091" s="109">
        <f>IF($J$1="July","",Y1090)</f>
        <v>0</v>
      </c>
      <c r="V1091" s="74"/>
      <c r="W1091" s="109">
        <f t="shared" si="222"/>
        <v>0</v>
      </c>
      <c r="X1091" s="74"/>
      <c r="Y1091" s="109">
        <f t="shared" si="223"/>
        <v>0</v>
      </c>
      <c r="Z1091" s="76"/>
    </row>
    <row r="1092" spans="1:26" s="29" customFormat="1" ht="21" customHeight="1" x14ac:dyDescent="0.2">
      <c r="A1092" s="30"/>
      <c r="B1092" s="56" t="s">
        <v>70</v>
      </c>
      <c r="C1092" s="39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F1092" s="48" t="s">
        <v>69</v>
      </c>
      <c r="G1092" s="43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I1092" s="458" t="s">
        <v>65</v>
      </c>
      <c r="J1092" s="459"/>
      <c r="K1092" s="57">
        <f>K1090-K1091</f>
        <v>34334.677419354841</v>
      </c>
      <c r="L1092" s="58"/>
      <c r="N1092" s="71"/>
      <c r="O1092" s="72" t="s">
        <v>58</v>
      </c>
      <c r="P1092" s="72">
        <v>30</v>
      </c>
      <c r="Q1092" s="72">
        <v>0</v>
      </c>
      <c r="R1092" s="72">
        <v>0</v>
      </c>
      <c r="S1092" s="63"/>
      <c r="T1092" s="72" t="s">
        <v>58</v>
      </c>
      <c r="U1092" s="109">
        <f>IF($J$1="August","",Y1091)</f>
        <v>0</v>
      </c>
      <c r="V1092" s="74"/>
      <c r="W1092" s="109">
        <f t="shared" si="222"/>
        <v>0</v>
      </c>
      <c r="X1092" s="74"/>
      <c r="Y1092" s="109">
        <f t="shared" si="223"/>
        <v>0</v>
      </c>
      <c r="Z1092" s="76"/>
    </row>
    <row r="1093" spans="1:26" s="29" customFormat="1" ht="21" customHeight="1" x14ac:dyDescent="0.2">
      <c r="A1093" s="30"/>
      <c r="J1093" s="29">
        <v>14415</v>
      </c>
      <c r="K1093" s="113">
        <f>K1092-J1093</f>
        <v>19919.677419354841</v>
      </c>
      <c r="L1093" s="46"/>
      <c r="N1093" s="71"/>
      <c r="O1093" s="72" t="s">
        <v>54</v>
      </c>
      <c r="P1093" s="72">
        <v>31</v>
      </c>
      <c r="Q1093" s="72">
        <v>0</v>
      </c>
      <c r="R1093" s="72">
        <v>0</v>
      </c>
      <c r="S1093" s="63"/>
      <c r="T1093" s="72" t="s">
        <v>54</v>
      </c>
      <c r="U1093" s="109">
        <f>IF($J$1="September","",Y1092)</f>
        <v>0</v>
      </c>
      <c r="V1093" s="74"/>
      <c r="W1093" s="109">
        <f t="shared" si="222"/>
        <v>0</v>
      </c>
      <c r="X1093" s="74"/>
      <c r="Y1093" s="109">
        <f t="shared" si="223"/>
        <v>0</v>
      </c>
      <c r="Z1093" s="76"/>
    </row>
    <row r="1094" spans="1:26" s="29" customFormat="1" ht="21" customHeight="1" x14ac:dyDescent="0.2">
      <c r="A1094" s="30"/>
      <c r="B1094" s="455" t="s">
        <v>94</v>
      </c>
      <c r="C1094" s="455"/>
      <c r="D1094" s="455"/>
      <c r="E1094" s="455"/>
      <c r="F1094" s="455"/>
      <c r="G1094" s="455"/>
      <c r="H1094" s="455"/>
      <c r="I1094" s="455"/>
      <c r="J1094" s="455"/>
      <c r="K1094" s="455"/>
      <c r="L1094" s="46"/>
      <c r="N1094" s="71"/>
      <c r="O1094" s="72" t="s">
        <v>59</v>
      </c>
      <c r="P1094" s="72"/>
      <c r="Q1094" s="72"/>
      <c r="R1094" s="72">
        <v>0</v>
      </c>
      <c r="S1094" s="63"/>
      <c r="T1094" s="72" t="s">
        <v>59</v>
      </c>
      <c r="U1094" s="109" t="str">
        <f>IF($J$1="October","",Y1093)</f>
        <v/>
      </c>
      <c r="V1094" s="74"/>
      <c r="W1094" s="109" t="str">
        <f t="shared" si="222"/>
        <v/>
      </c>
      <c r="X1094" s="74"/>
      <c r="Y1094" s="109" t="str">
        <f t="shared" si="223"/>
        <v/>
      </c>
      <c r="Z1094" s="76"/>
    </row>
    <row r="1095" spans="1:26" s="29" customFormat="1" ht="21" customHeight="1" x14ac:dyDescent="0.2">
      <c r="A1095" s="30"/>
      <c r="B1095" s="455"/>
      <c r="C1095" s="455"/>
      <c r="D1095" s="455"/>
      <c r="E1095" s="455"/>
      <c r="F1095" s="455"/>
      <c r="G1095" s="455"/>
      <c r="H1095" s="455"/>
      <c r="I1095" s="455"/>
      <c r="J1095" s="455"/>
      <c r="K1095" s="455"/>
      <c r="L1095" s="46"/>
      <c r="N1095" s="71"/>
      <c r="O1095" s="72" t="s">
        <v>60</v>
      </c>
      <c r="P1095" s="72"/>
      <c r="Q1095" s="72"/>
      <c r="R1095" s="72">
        <v>0</v>
      </c>
      <c r="S1095" s="63"/>
      <c r="T1095" s="72" t="s">
        <v>60</v>
      </c>
      <c r="U1095" s="109" t="str">
        <f>IF($J$1="November","",Y1094)</f>
        <v/>
      </c>
      <c r="V1095" s="74"/>
      <c r="W1095" s="109" t="str">
        <f t="shared" si="222"/>
        <v/>
      </c>
      <c r="X1095" s="74"/>
      <c r="Y1095" s="109" t="str">
        <f t="shared" si="223"/>
        <v/>
      </c>
      <c r="Z1095" s="76"/>
    </row>
    <row r="1096" spans="1:26" s="29" customFormat="1" ht="21" customHeight="1" thickBot="1" x14ac:dyDescent="0.25">
      <c r="A1096" s="59"/>
      <c r="B1096" s="60"/>
      <c r="C1096" s="60"/>
      <c r="D1096" s="60"/>
      <c r="E1096" s="60"/>
      <c r="F1096" s="60"/>
      <c r="G1096" s="60"/>
      <c r="H1096" s="60"/>
      <c r="I1096" s="60"/>
      <c r="J1096" s="60"/>
      <c r="K1096" s="60"/>
      <c r="L1096" s="61"/>
      <c r="N1096" s="77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9"/>
    </row>
    <row r="1097" spans="1:26" s="29" customFormat="1" ht="21" customHeight="1" thickBot="1" x14ac:dyDescent="0.25">
      <c r="N1097" s="63"/>
      <c r="O1097" s="63"/>
      <c r="P1097" s="63"/>
      <c r="Q1097" s="63"/>
      <c r="R1097" s="63"/>
      <c r="S1097" s="63"/>
      <c r="T1097" s="63"/>
      <c r="U1097" s="63"/>
      <c r="V1097" s="63"/>
      <c r="W1097" s="63"/>
      <c r="X1097" s="63"/>
      <c r="Y1097" s="63"/>
      <c r="Z1097" s="63"/>
    </row>
    <row r="1098" spans="1:26" s="29" customFormat="1" ht="21" customHeight="1" x14ac:dyDescent="0.2">
      <c r="A1098" s="460" t="s">
        <v>42</v>
      </c>
      <c r="B1098" s="461"/>
      <c r="C1098" s="461"/>
      <c r="D1098" s="461"/>
      <c r="E1098" s="461"/>
      <c r="F1098" s="461"/>
      <c r="G1098" s="461"/>
      <c r="H1098" s="461"/>
      <c r="I1098" s="461"/>
      <c r="J1098" s="461"/>
      <c r="K1098" s="461"/>
      <c r="L1098" s="462"/>
      <c r="M1098" s="28"/>
      <c r="N1098" s="64"/>
      <c r="O1098" s="469" t="s">
        <v>44</v>
      </c>
      <c r="P1098" s="470"/>
      <c r="Q1098" s="470"/>
      <c r="R1098" s="471"/>
      <c r="S1098" s="65"/>
      <c r="T1098" s="469" t="s">
        <v>45</v>
      </c>
      <c r="U1098" s="470"/>
      <c r="V1098" s="470"/>
      <c r="W1098" s="470"/>
      <c r="X1098" s="470"/>
      <c r="Y1098" s="471"/>
      <c r="Z1098" s="66"/>
    </row>
    <row r="1099" spans="1:26" s="29" customFormat="1" ht="21" customHeight="1" x14ac:dyDescent="0.2">
      <c r="A1099" s="30"/>
      <c r="C1099" s="466" t="s">
        <v>92</v>
      </c>
      <c r="D1099" s="466"/>
      <c r="E1099" s="466"/>
      <c r="F1099" s="466"/>
      <c r="G1099" s="31" t="str">
        <f>$J$1</f>
        <v>October</v>
      </c>
      <c r="H1099" s="467">
        <f>$K$1</f>
        <v>2022</v>
      </c>
      <c r="I1099" s="467"/>
      <c r="K1099" s="32"/>
      <c r="L1099" s="33"/>
      <c r="M1099" s="32"/>
      <c r="N1099" s="67"/>
      <c r="O1099" s="68" t="s">
        <v>55</v>
      </c>
      <c r="P1099" s="68" t="s">
        <v>7</v>
      </c>
      <c r="Q1099" s="68" t="s">
        <v>6</v>
      </c>
      <c r="R1099" s="68" t="s">
        <v>56</v>
      </c>
      <c r="S1099" s="69"/>
      <c r="T1099" s="68" t="s">
        <v>55</v>
      </c>
      <c r="U1099" s="68" t="s">
        <v>57</v>
      </c>
      <c r="V1099" s="68" t="s">
        <v>22</v>
      </c>
      <c r="W1099" s="68" t="s">
        <v>21</v>
      </c>
      <c r="X1099" s="68" t="s">
        <v>23</v>
      </c>
      <c r="Y1099" s="68" t="s">
        <v>61</v>
      </c>
      <c r="Z1099" s="70"/>
    </row>
    <row r="1100" spans="1:26" s="29" customFormat="1" ht="21" customHeight="1" x14ac:dyDescent="0.2">
      <c r="A1100" s="30"/>
      <c r="D1100" s="35"/>
      <c r="E1100" s="35"/>
      <c r="F1100" s="35"/>
      <c r="G1100" s="35"/>
      <c r="H1100" s="35"/>
      <c r="J1100" s="36" t="s">
        <v>1</v>
      </c>
      <c r="K1100" s="37">
        <v>25000</v>
      </c>
      <c r="L1100" s="38"/>
      <c r="N1100" s="71"/>
      <c r="O1100" s="72" t="s">
        <v>47</v>
      </c>
      <c r="P1100" s="72">
        <v>27</v>
      </c>
      <c r="Q1100" s="72">
        <v>4</v>
      </c>
      <c r="R1100" s="72">
        <f>15-Q1100</f>
        <v>11</v>
      </c>
      <c r="S1100" s="73"/>
      <c r="T1100" s="72" t="s">
        <v>47</v>
      </c>
      <c r="U1100" s="74">
        <v>14000</v>
      </c>
      <c r="V1100" s="74">
        <v>2000</v>
      </c>
      <c r="W1100" s="74">
        <f>V1100+U1100</f>
        <v>16000</v>
      </c>
      <c r="X1100" s="74">
        <v>3500</v>
      </c>
      <c r="Y1100" s="74">
        <f>W1100-X1100</f>
        <v>12500</v>
      </c>
      <c r="Z1100" s="70"/>
    </row>
    <row r="1101" spans="1:26" s="29" customFormat="1" ht="21" customHeight="1" x14ac:dyDescent="0.2">
      <c r="A1101" s="30"/>
      <c r="B1101" s="29" t="s">
        <v>0</v>
      </c>
      <c r="C1101" s="40" t="s">
        <v>122</v>
      </c>
      <c r="H1101" s="41"/>
      <c r="I1101" s="35"/>
      <c r="L1101" s="42"/>
      <c r="M1101" s="28"/>
      <c r="N1101" s="75"/>
      <c r="O1101" s="72" t="s">
        <v>73</v>
      </c>
      <c r="P1101" s="72">
        <v>27</v>
      </c>
      <c r="Q1101" s="72">
        <v>1</v>
      </c>
      <c r="R1101" s="72">
        <f t="shared" ref="R1101:R1111" si="224">IF(Q1101="","",R1100-Q1101)</f>
        <v>10</v>
      </c>
      <c r="S1101" s="63"/>
      <c r="T1101" s="72" t="s">
        <v>73</v>
      </c>
      <c r="U1101" s="109">
        <f t="shared" ref="U1101:U1106" si="225">Y1100</f>
        <v>12500</v>
      </c>
      <c r="V1101" s="74">
        <f>1000+1050</f>
        <v>2050</v>
      </c>
      <c r="W1101" s="109">
        <f>IF(U1101="","",U1101+V1101)</f>
        <v>14550</v>
      </c>
      <c r="X1101" s="74">
        <v>3550</v>
      </c>
      <c r="Y1101" s="109">
        <f>IF(W1101="","",W1101-X1101)</f>
        <v>11000</v>
      </c>
      <c r="Z1101" s="76"/>
    </row>
    <row r="1102" spans="1:26" s="29" customFormat="1" ht="21" customHeight="1" x14ac:dyDescent="0.2">
      <c r="A1102" s="30"/>
      <c r="B1102" s="44" t="s">
        <v>43</v>
      </c>
      <c r="C1102" s="40"/>
      <c r="F1102" s="468" t="s">
        <v>45</v>
      </c>
      <c r="G1102" s="468"/>
      <c r="I1102" s="468" t="s">
        <v>46</v>
      </c>
      <c r="J1102" s="468"/>
      <c r="K1102" s="468"/>
      <c r="L1102" s="46"/>
      <c r="N1102" s="71"/>
      <c r="O1102" s="72" t="s">
        <v>48</v>
      </c>
      <c r="P1102" s="72">
        <v>27</v>
      </c>
      <c r="Q1102" s="72">
        <v>4</v>
      </c>
      <c r="R1102" s="72">
        <f t="shared" si="224"/>
        <v>6</v>
      </c>
      <c r="S1102" s="63"/>
      <c r="T1102" s="72" t="s">
        <v>48</v>
      </c>
      <c r="U1102" s="109">
        <f t="shared" si="225"/>
        <v>11000</v>
      </c>
      <c r="V1102" s="74">
        <v>700</v>
      </c>
      <c r="W1102" s="109">
        <f t="shared" ref="W1102:W1109" si="226">IF(U1102="","",U1102+V1102)</f>
        <v>11700</v>
      </c>
      <c r="X1102" s="74">
        <v>5000</v>
      </c>
      <c r="Y1102" s="109">
        <f t="shared" ref="Y1102:Y1111" si="227">IF(W1102="","",W1102-X1102)</f>
        <v>6700</v>
      </c>
      <c r="Z1102" s="76"/>
    </row>
    <row r="1103" spans="1:26" s="29" customFormat="1" ht="21" customHeight="1" x14ac:dyDescent="0.2">
      <c r="A1103" s="30"/>
      <c r="H1103" s="47"/>
      <c r="L1103" s="34"/>
      <c r="N1103" s="71"/>
      <c r="O1103" s="72" t="s">
        <v>49</v>
      </c>
      <c r="P1103" s="72">
        <v>28</v>
      </c>
      <c r="Q1103" s="72">
        <v>2</v>
      </c>
      <c r="R1103" s="72">
        <f t="shared" si="224"/>
        <v>4</v>
      </c>
      <c r="S1103" s="63"/>
      <c r="T1103" s="72" t="s">
        <v>49</v>
      </c>
      <c r="U1103" s="109">
        <f t="shared" si="225"/>
        <v>6700</v>
      </c>
      <c r="V1103" s="74">
        <f>5000+5000</f>
        <v>10000</v>
      </c>
      <c r="W1103" s="109">
        <f t="shared" si="226"/>
        <v>16700</v>
      </c>
      <c r="X1103" s="74">
        <v>5000</v>
      </c>
      <c r="Y1103" s="109">
        <f t="shared" si="227"/>
        <v>11700</v>
      </c>
      <c r="Z1103" s="76"/>
    </row>
    <row r="1104" spans="1:26" s="29" customFormat="1" ht="21" customHeight="1" x14ac:dyDescent="0.2">
      <c r="A1104" s="30"/>
      <c r="B1104" s="472" t="s">
        <v>44</v>
      </c>
      <c r="C1104" s="473"/>
      <c r="F1104" s="48" t="s">
        <v>66</v>
      </c>
      <c r="G1104" s="97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7"/>
      <c r="I1104" s="49">
        <f>IF(C1108&gt;0,$K$2,C1106)</f>
        <v>31</v>
      </c>
      <c r="J1104" s="50" t="s">
        <v>63</v>
      </c>
      <c r="K1104" s="51">
        <f>K1100/$K$2*I1104</f>
        <v>25000</v>
      </c>
      <c r="L1104" s="52"/>
      <c r="N1104" s="71"/>
      <c r="O1104" s="72" t="s">
        <v>50</v>
      </c>
      <c r="P1104" s="72">
        <v>29</v>
      </c>
      <c r="Q1104" s="72">
        <v>2</v>
      </c>
      <c r="R1104" s="72">
        <f t="shared" si="224"/>
        <v>2</v>
      </c>
      <c r="S1104" s="63"/>
      <c r="T1104" s="72" t="s">
        <v>50</v>
      </c>
      <c r="U1104" s="109">
        <f t="shared" si="225"/>
        <v>11700</v>
      </c>
      <c r="V1104" s="74">
        <f>1000+10000</f>
        <v>11000</v>
      </c>
      <c r="W1104" s="109">
        <f t="shared" si="226"/>
        <v>22700</v>
      </c>
      <c r="X1104" s="74">
        <v>5000</v>
      </c>
      <c r="Y1104" s="109">
        <f t="shared" si="227"/>
        <v>17700</v>
      </c>
      <c r="Z1104" s="76"/>
    </row>
    <row r="1105" spans="1:27" s="29" customFormat="1" ht="21" customHeight="1" x14ac:dyDescent="0.2">
      <c r="A1105" s="30"/>
      <c r="B1105" s="39"/>
      <c r="C1105" s="39"/>
      <c r="F1105" s="48" t="s">
        <v>22</v>
      </c>
      <c r="G1105" s="43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7"/>
      <c r="I1105" s="84">
        <v>2</v>
      </c>
      <c r="J1105" s="50" t="s">
        <v>64</v>
      </c>
      <c r="K1105" s="53">
        <f>K1100/$K$2/8*I1105</f>
        <v>201.61290322580646</v>
      </c>
      <c r="L1105" s="54"/>
      <c r="N1105" s="71"/>
      <c r="O1105" s="72" t="s">
        <v>51</v>
      </c>
      <c r="P1105" s="72">
        <v>27</v>
      </c>
      <c r="Q1105" s="72">
        <v>3</v>
      </c>
      <c r="R1105" s="72">
        <v>0</v>
      </c>
      <c r="S1105" s="63"/>
      <c r="T1105" s="72" t="s">
        <v>51</v>
      </c>
      <c r="U1105" s="109">
        <f t="shared" si="225"/>
        <v>17700</v>
      </c>
      <c r="V1105" s="74">
        <f>500+10000</f>
        <v>10500</v>
      </c>
      <c r="W1105" s="109">
        <f t="shared" si="226"/>
        <v>28200</v>
      </c>
      <c r="X1105" s="74">
        <v>5000</v>
      </c>
      <c r="Y1105" s="109">
        <f t="shared" si="227"/>
        <v>23200</v>
      </c>
      <c r="Z1105" s="76"/>
    </row>
    <row r="1106" spans="1:27" s="29" customFormat="1" ht="21" customHeight="1" x14ac:dyDescent="0.2">
      <c r="A1106" s="30"/>
      <c r="B1106" s="48" t="s">
        <v>7</v>
      </c>
      <c r="C1106" s="39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0</v>
      </c>
      <c r="F1106" s="48" t="s">
        <v>67</v>
      </c>
      <c r="G1106" s="43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0</v>
      </c>
      <c r="H1106" s="47"/>
      <c r="I1106" s="456" t="s">
        <v>71</v>
      </c>
      <c r="J1106" s="457"/>
      <c r="K1106" s="53">
        <f>K1104+K1105</f>
        <v>25201.612903225807</v>
      </c>
      <c r="L1106" s="54"/>
      <c r="N1106" s="71"/>
      <c r="O1106" s="72" t="s">
        <v>52</v>
      </c>
      <c r="P1106" s="72">
        <v>29</v>
      </c>
      <c r="Q1106" s="72">
        <v>2</v>
      </c>
      <c r="R1106" s="72">
        <v>0</v>
      </c>
      <c r="S1106" s="63"/>
      <c r="T1106" s="72" t="s">
        <v>52</v>
      </c>
      <c r="U1106" s="109">
        <f t="shared" si="225"/>
        <v>23200</v>
      </c>
      <c r="V1106" s="74"/>
      <c r="W1106" s="109">
        <f t="shared" si="226"/>
        <v>23200</v>
      </c>
      <c r="X1106" s="74">
        <v>5000</v>
      </c>
      <c r="Y1106" s="109">
        <f t="shared" si="227"/>
        <v>18200</v>
      </c>
      <c r="Z1106" s="76"/>
    </row>
    <row r="1107" spans="1:27" s="29" customFormat="1" ht="21" customHeight="1" x14ac:dyDescent="0.2">
      <c r="A1107" s="30"/>
      <c r="B1107" s="48" t="s">
        <v>6</v>
      </c>
      <c r="C1107" s="39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F1107" s="48" t="s">
        <v>23</v>
      </c>
      <c r="G1107" s="43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7"/>
      <c r="I1107" s="456" t="s">
        <v>72</v>
      </c>
      <c r="J1107" s="457"/>
      <c r="K1107" s="43">
        <f>G1107</f>
        <v>0</v>
      </c>
      <c r="L1107" s="55"/>
      <c r="N1107" s="71"/>
      <c r="O1107" s="72" t="s">
        <v>53</v>
      </c>
      <c r="P1107" s="72">
        <v>29</v>
      </c>
      <c r="Q1107" s="72">
        <v>2</v>
      </c>
      <c r="R1107" s="72">
        <v>0</v>
      </c>
      <c r="S1107" s="63"/>
      <c r="T1107" s="72" t="s">
        <v>53</v>
      </c>
      <c r="U1107" s="109">
        <f>Y1106</f>
        <v>18200</v>
      </c>
      <c r="V1107" s="74">
        <f>10000+3250+5000</f>
        <v>18250</v>
      </c>
      <c r="W1107" s="109">
        <f t="shared" si="226"/>
        <v>36450</v>
      </c>
      <c r="X1107" s="74">
        <v>10000</v>
      </c>
      <c r="Y1107" s="109">
        <f t="shared" si="227"/>
        <v>26450</v>
      </c>
      <c r="Z1107" s="76"/>
    </row>
    <row r="1108" spans="1:27" s="29" customFormat="1" ht="21" customHeight="1" x14ac:dyDescent="0.2">
      <c r="A1108" s="30"/>
      <c r="B1108" s="56" t="s">
        <v>70</v>
      </c>
      <c r="C1108" s="39" t="str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/>
      </c>
      <c r="F1108" s="48" t="s">
        <v>69</v>
      </c>
      <c r="G1108" s="43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I1108" s="458" t="s">
        <v>65</v>
      </c>
      <c r="J1108" s="459"/>
      <c r="K1108" s="57"/>
      <c r="L1108" s="58"/>
      <c r="N1108" s="71"/>
      <c r="O1108" s="72" t="s">
        <v>58</v>
      </c>
      <c r="P1108" s="72"/>
      <c r="Q1108" s="72"/>
      <c r="R1108" s="72" t="str">
        <f t="shared" si="224"/>
        <v/>
      </c>
      <c r="S1108" s="63"/>
      <c r="T1108" s="72" t="s">
        <v>58</v>
      </c>
      <c r="U1108" s="109">
        <f>Y1107</f>
        <v>26450</v>
      </c>
      <c r="V1108" s="74">
        <v>1000</v>
      </c>
      <c r="W1108" s="109">
        <f t="shared" si="226"/>
        <v>27450</v>
      </c>
      <c r="X1108" s="74">
        <v>27450</v>
      </c>
      <c r="Y1108" s="109">
        <f t="shared" si="227"/>
        <v>0</v>
      </c>
      <c r="Z1108" s="76"/>
    </row>
    <row r="1109" spans="1:27" s="29" customFormat="1" ht="21" customHeight="1" x14ac:dyDescent="0.2">
      <c r="A1109" s="30"/>
      <c r="K1109" s="113"/>
      <c r="L1109" s="46"/>
      <c r="N1109" s="71"/>
      <c r="O1109" s="72" t="s">
        <v>54</v>
      </c>
      <c r="P1109" s="72"/>
      <c r="Q1109" s="72"/>
      <c r="R1109" s="72" t="str">
        <f t="shared" si="224"/>
        <v/>
      </c>
      <c r="S1109" s="63"/>
      <c r="T1109" s="72" t="s">
        <v>54</v>
      </c>
      <c r="U1109" s="109">
        <f>Y1108</f>
        <v>0</v>
      </c>
      <c r="V1109" s="74"/>
      <c r="W1109" s="109">
        <f t="shared" si="226"/>
        <v>0</v>
      </c>
      <c r="X1109" s="74"/>
      <c r="Y1109" s="109">
        <f t="shared" si="227"/>
        <v>0</v>
      </c>
      <c r="Z1109" s="76"/>
    </row>
    <row r="1110" spans="1:27" s="29" customFormat="1" ht="21" customHeight="1" x14ac:dyDescent="0.2">
      <c r="A1110" s="30"/>
      <c r="B1110" s="455" t="s">
        <v>94</v>
      </c>
      <c r="C1110" s="455"/>
      <c r="D1110" s="455"/>
      <c r="E1110" s="455"/>
      <c r="F1110" s="455"/>
      <c r="G1110" s="455"/>
      <c r="H1110" s="455"/>
      <c r="I1110" s="455"/>
      <c r="J1110" s="455"/>
      <c r="K1110" s="455"/>
      <c r="L1110" s="46"/>
      <c r="N1110" s="71"/>
      <c r="O1110" s="72" t="s">
        <v>59</v>
      </c>
      <c r="P1110" s="72"/>
      <c r="Q1110" s="72"/>
      <c r="R1110" s="72" t="str">
        <f t="shared" si="224"/>
        <v/>
      </c>
      <c r="S1110" s="63"/>
      <c r="T1110" s="72" t="s">
        <v>59</v>
      </c>
      <c r="U1110" s="109"/>
      <c r="V1110" s="74"/>
      <c r="W1110" s="109" t="str">
        <f>IF(U1110="","",U1110+V1110)</f>
        <v/>
      </c>
      <c r="X1110" s="74"/>
      <c r="Y1110" s="109" t="str">
        <f t="shared" si="227"/>
        <v/>
      </c>
      <c r="Z1110" s="76"/>
    </row>
    <row r="1111" spans="1:27" s="29" customFormat="1" ht="21" customHeight="1" x14ac:dyDescent="0.2">
      <c r="A1111" s="30"/>
      <c r="B1111" s="455"/>
      <c r="C1111" s="455"/>
      <c r="D1111" s="455"/>
      <c r="E1111" s="455"/>
      <c r="F1111" s="455"/>
      <c r="G1111" s="455"/>
      <c r="H1111" s="455"/>
      <c r="I1111" s="455"/>
      <c r="J1111" s="455"/>
      <c r="K1111" s="455"/>
      <c r="L1111" s="46"/>
      <c r="N1111" s="71"/>
      <c r="O1111" s="72" t="s">
        <v>60</v>
      </c>
      <c r="P1111" s="72"/>
      <c r="Q1111" s="72"/>
      <c r="R1111" s="72" t="str">
        <f t="shared" si="224"/>
        <v/>
      </c>
      <c r="S1111" s="63"/>
      <c r="T1111" s="72" t="s">
        <v>60</v>
      </c>
      <c r="U1111" s="109" t="str">
        <f>Y1110</f>
        <v/>
      </c>
      <c r="V1111" s="74"/>
      <c r="W1111" s="109" t="str">
        <f>IF(U1111="","",U1111+V1111)</f>
        <v/>
      </c>
      <c r="X1111" s="74"/>
      <c r="Y1111" s="109" t="str">
        <f t="shared" si="227"/>
        <v/>
      </c>
      <c r="Z1111" s="76"/>
    </row>
    <row r="1112" spans="1:27" s="29" customFormat="1" ht="21" customHeight="1" thickBot="1" x14ac:dyDescent="0.25">
      <c r="A1112" s="59"/>
      <c r="B1112" s="60"/>
      <c r="C1112" s="60"/>
      <c r="D1112" s="60"/>
      <c r="E1112" s="60"/>
      <c r="F1112" s="60"/>
      <c r="G1112" s="60"/>
      <c r="H1112" s="60"/>
      <c r="I1112" s="60"/>
      <c r="J1112" s="60"/>
      <c r="K1112" s="60"/>
      <c r="L1112" s="61"/>
      <c r="N1112" s="77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9"/>
    </row>
    <row r="1113" spans="1:27" ht="15.75" hidden="1" thickBot="1" x14ac:dyDescent="0.3"/>
    <row r="1114" spans="1:27" s="29" customFormat="1" ht="21.4" hidden="1" customHeight="1" x14ac:dyDescent="0.2">
      <c r="A1114" s="463" t="s">
        <v>42</v>
      </c>
      <c r="B1114" s="464"/>
      <c r="C1114" s="464"/>
      <c r="D1114" s="464"/>
      <c r="E1114" s="464"/>
      <c r="F1114" s="464"/>
      <c r="G1114" s="464"/>
      <c r="H1114" s="464"/>
      <c r="I1114" s="464"/>
      <c r="J1114" s="464"/>
      <c r="K1114" s="464"/>
      <c r="L1114" s="465"/>
      <c r="M1114" s="28"/>
      <c r="N1114" s="64"/>
      <c r="O1114" s="469" t="s">
        <v>44</v>
      </c>
      <c r="P1114" s="470"/>
      <c r="Q1114" s="470"/>
      <c r="R1114" s="471"/>
      <c r="S1114" s="65"/>
      <c r="T1114" s="469" t="s">
        <v>45</v>
      </c>
      <c r="U1114" s="470"/>
      <c r="V1114" s="470"/>
      <c r="W1114" s="470"/>
      <c r="X1114" s="470"/>
      <c r="Y1114" s="471"/>
      <c r="Z1114" s="66"/>
      <c r="AA1114" s="28"/>
    </row>
    <row r="1115" spans="1:27" s="29" customFormat="1" ht="21.4" hidden="1" customHeight="1" x14ac:dyDescent="0.2">
      <c r="A1115" s="30"/>
      <c r="C1115" s="466" t="s">
        <v>92</v>
      </c>
      <c r="D1115" s="466"/>
      <c r="E1115" s="466"/>
      <c r="F1115" s="466"/>
      <c r="G1115" s="31" t="str">
        <f>$J$1</f>
        <v>October</v>
      </c>
      <c r="H1115" s="467">
        <f>$K$1</f>
        <v>2022</v>
      </c>
      <c r="I1115" s="467"/>
      <c r="K1115" s="32"/>
      <c r="L1115" s="33"/>
      <c r="M1115" s="32"/>
      <c r="N1115" s="67"/>
      <c r="O1115" s="68" t="s">
        <v>55</v>
      </c>
      <c r="P1115" s="68" t="s">
        <v>7</v>
      </c>
      <c r="Q1115" s="68" t="s">
        <v>6</v>
      </c>
      <c r="R1115" s="68" t="s">
        <v>56</v>
      </c>
      <c r="S1115" s="69"/>
      <c r="T1115" s="68" t="s">
        <v>55</v>
      </c>
      <c r="U1115" s="68" t="s">
        <v>57</v>
      </c>
      <c r="V1115" s="68" t="s">
        <v>22</v>
      </c>
      <c r="W1115" s="68" t="s">
        <v>21</v>
      </c>
      <c r="X1115" s="68" t="s">
        <v>23</v>
      </c>
      <c r="Y1115" s="68" t="s">
        <v>61</v>
      </c>
      <c r="Z1115" s="70"/>
      <c r="AA1115" s="32"/>
    </row>
    <row r="1116" spans="1:27" s="29" customFormat="1" ht="21.4" hidden="1" customHeight="1" x14ac:dyDescent="0.2">
      <c r="A1116" s="30"/>
      <c r="D1116" s="35"/>
      <c r="E1116" s="35"/>
      <c r="F1116" s="35"/>
      <c r="G1116" s="35"/>
      <c r="H1116" s="35"/>
      <c r="J1116" s="36" t="s">
        <v>1</v>
      </c>
      <c r="K1116" s="37"/>
      <c r="L1116" s="38"/>
      <c r="N1116" s="71"/>
      <c r="O1116" s="72" t="s">
        <v>47</v>
      </c>
      <c r="P1116" s="72"/>
      <c r="Q1116" s="72"/>
      <c r="R1116" s="72">
        <f>15-Q1116</f>
        <v>15</v>
      </c>
      <c r="S1116" s="73"/>
      <c r="T1116" s="72" t="s">
        <v>47</v>
      </c>
      <c r="U1116" s="74"/>
      <c r="V1116" s="74"/>
      <c r="W1116" s="74">
        <f>V1116+U1116</f>
        <v>0</v>
      </c>
      <c r="X1116" s="74"/>
      <c r="Y1116" s="74">
        <f>W1116-X1116</f>
        <v>0</v>
      </c>
      <c r="Z1116" s="70"/>
    </row>
    <row r="1117" spans="1:27" s="29" customFormat="1" ht="21.4" hidden="1" customHeight="1" x14ac:dyDescent="0.2">
      <c r="A1117" s="30"/>
      <c r="B1117" s="29" t="s">
        <v>0</v>
      </c>
      <c r="C1117" s="40" t="s">
        <v>214</v>
      </c>
      <c r="H1117" s="41"/>
      <c r="I1117" s="35"/>
      <c r="L1117" s="42"/>
      <c r="M1117" s="28"/>
      <c r="N1117" s="75"/>
      <c r="O1117" s="72" t="s">
        <v>73</v>
      </c>
      <c r="P1117" s="72"/>
      <c r="Q1117" s="72"/>
      <c r="R1117" s="72" t="str">
        <f>IF(Q1117="","",R1116-Q1117)</f>
        <v/>
      </c>
      <c r="S1117" s="63"/>
      <c r="T1117" s="72" t="s">
        <v>73</v>
      </c>
      <c r="U1117" s="109">
        <f>Y1116</f>
        <v>0</v>
      </c>
      <c r="V1117" s="74"/>
      <c r="W1117" s="74">
        <f>V1117+U1117</f>
        <v>0</v>
      </c>
      <c r="X1117" s="74"/>
      <c r="Y1117" s="109">
        <f>IF(W1117="","",W1117-X1117)</f>
        <v>0</v>
      </c>
      <c r="Z1117" s="76"/>
      <c r="AA1117" s="28"/>
    </row>
    <row r="1118" spans="1:27" s="29" customFormat="1" ht="21.4" hidden="1" customHeight="1" x14ac:dyDescent="0.2">
      <c r="A1118" s="30"/>
      <c r="B1118" s="44" t="s">
        <v>43</v>
      </c>
      <c r="C1118" s="45"/>
      <c r="F1118" s="468" t="s">
        <v>45</v>
      </c>
      <c r="G1118" s="468"/>
      <c r="I1118" s="468" t="s">
        <v>46</v>
      </c>
      <c r="J1118" s="468"/>
      <c r="K1118" s="468"/>
      <c r="L1118" s="46"/>
      <c r="N1118" s="71"/>
      <c r="O1118" s="72" t="s">
        <v>48</v>
      </c>
      <c r="P1118" s="72"/>
      <c r="Q1118" s="72"/>
      <c r="R1118" s="72" t="str">
        <f t="shared" ref="R1118:R1125" si="228">IF(Q1118="","",R1117-Q1118)</f>
        <v/>
      </c>
      <c r="S1118" s="63"/>
      <c r="T1118" s="72" t="s">
        <v>48</v>
      </c>
      <c r="U1118" s="109">
        <f>Y1117</f>
        <v>0</v>
      </c>
      <c r="V1118" s="74"/>
      <c r="W1118" s="74">
        <f>V1118+U1118</f>
        <v>0</v>
      </c>
      <c r="X1118" s="74"/>
      <c r="Y1118" s="109">
        <f t="shared" ref="Y1118:Y1127" si="229">IF(W1118="","",W1118-X1118)</f>
        <v>0</v>
      </c>
      <c r="Z1118" s="76"/>
    </row>
    <row r="1119" spans="1:27" s="29" customFormat="1" ht="21.4" hidden="1" customHeight="1" x14ac:dyDescent="0.2">
      <c r="A1119" s="30"/>
      <c r="H1119" s="47"/>
      <c r="L1119" s="34"/>
      <c r="N1119" s="71"/>
      <c r="O1119" s="72" t="s">
        <v>49</v>
      </c>
      <c r="P1119" s="72"/>
      <c r="Q1119" s="72"/>
      <c r="R1119" s="72" t="str">
        <f t="shared" si="228"/>
        <v/>
      </c>
      <c r="S1119" s="63"/>
      <c r="T1119" s="72" t="s">
        <v>49</v>
      </c>
      <c r="U1119" s="109"/>
      <c r="V1119" s="74"/>
      <c r="W1119" s="109" t="str">
        <f t="shared" ref="W1119:W1127" si="230">IF(U1119="","",U1119+V1119)</f>
        <v/>
      </c>
      <c r="X1119" s="74"/>
      <c r="Y1119" s="109" t="str">
        <f t="shared" si="229"/>
        <v/>
      </c>
      <c r="Z1119" s="76"/>
    </row>
    <row r="1120" spans="1:27" s="29" customFormat="1" ht="21.4" hidden="1" customHeight="1" x14ac:dyDescent="0.2">
      <c r="A1120" s="30"/>
      <c r="B1120" s="472" t="s">
        <v>44</v>
      </c>
      <c r="C1120" s="473"/>
      <c r="F1120" s="48" t="s">
        <v>66</v>
      </c>
      <c r="G1120" s="43" t="str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/>
      </c>
      <c r="H1120" s="47"/>
      <c r="I1120" s="49">
        <v>22</v>
      </c>
      <c r="J1120" s="50" t="s">
        <v>63</v>
      </c>
      <c r="K1120" s="51">
        <f>K1116/$K$2*I1120</f>
        <v>0</v>
      </c>
      <c r="L1120" s="52"/>
      <c r="N1120" s="71"/>
      <c r="O1120" s="72" t="s">
        <v>50</v>
      </c>
      <c r="P1120" s="72"/>
      <c r="Q1120" s="72"/>
      <c r="R1120" s="72" t="str">
        <f t="shared" si="228"/>
        <v/>
      </c>
      <c r="S1120" s="63"/>
      <c r="T1120" s="72" t="s">
        <v>50</v>
      </c>
      <c r="U1120" s="109" t="str">
        <f t="shared" ref="U1120:U1124" si="231">Y1119</f>
        <v/>
      </c>
      <c r="V1120" s="74"/>
      <c r="W1120" s="109" t="str">
        <f t="shared" si="230"/>
        <v/>
      </c>
      <c r="X1120" s="74"/>
      <c r="Y1120" s="109" t="str">
        <f t="shared" si="229"/>
        <v/>
      </c>
      <c r="Z1120" s="76"/>
    </row>
    <row r="1121" spans="1:26" s="29" customFormat="1" ht="21.4" hidden="1" customHeight="1" x14ac:dyDescent="0.2">
      <c r="A1121" s="30"/>
      <c r="B1121" s="39"/>
      <c r="C1121" s="39"/>
      <c r="F1121" s="48" t="s">
        <v>22</v>
      </c>
      <c r="G1121" s="43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7"/>
      <c r="I1121" s="84"/>
      <c r="J1121" s="50" t="s">
        <v>64</v>
      </c>
      <c r="K1121" s="53">
        <f>K1116/$K$2/8*I1121</f>
        <v>0</v>
      </c>
      <c r="L1121" s="54"/>
      <c r="N1121" s="71"/>
      <c r="O1121" s="72" t="s">
        <v>51</v>
      </c>
      <c r="P1121" s="72"/>
      <c r="Q1121" s="72"/>
      <c r="R1121" s="72" t="str">
        <f t="shared" si="228"/>
        <v/>
      </c>
      <c r="S1121" s="63"/>
      <c r="T1121" s="72" t="s">
        <v>51</v>
      </c>
      <c r="U1121" s="109" t="str">
        <f t="shared" si="231"/>
        <v/>
      </c>
      <c r="V1121" s="74"/>
      <c r="W1121" s="109" t="str">
        <f t="shared" si="230"/>
        <v/>
      </c>
      <c r="X1121" s="74"/>
      <c r="Y1121" s="109" t="str">
        <f t="shared" si="229"/>
        <v/>
      </c>
      <c r="Z1121" s="76"/>
    </row>
    <row r="1122" spans="1:26" s="29" customFormat="1" ht="21.4" hidden="1" customHeight="1" x14ac:dyDescent="0.2">
      <c r="A1122" s="30"/>
      <c r="B1122" s="48" t="s">
        <v>7</v>
      </c>
      <c r="C1122" s="39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F1122" s="48" t="s">
        <v>67</v>
      </c>
      <c r="G1122" s="115" t="str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/>
      </c>
      <c r="H1122" s="47"/>
      <c r="I1122" s="456" t="s">
        <v>71</v>
      </c>
      <c r="J1122" s="457"/>
      <c r="K1122" s="53">
        <f>K1120+K1121</f>
        <v>0</v>
      </c>
      <c r="L1122" s="54"/>
      <c r="N1122" s="71"/>
      <c r="O1122" s="72" t="s">
        <v>52</v>
      </c>
      <c r="P1122" s="72"/>
      <c r="Q1122" s="72"/>
      <c r="R1122" s="72" t="str">
        <f t="shared" si="228"/>
        <v/>
      </c>
      <c r="S1122" s="63"/>
      <c r="T1122" s="72" t="s">
        <v>52</v>
      </c>
      <c r="U1122" s="109" t="str">
        <f t="shared" si="231"/>
        <v/>
      </c>
      <c r="V1122" s="74"/>
      <c r="W1122" s="109" t="str">
        <f t="shared" si="230"/>
        <v/>
      </c>
      <c r="X1122" s="74"/>
      <c r="Y1122" s="109" t="str">
        <f t="shared" si="229"/>
        <v/>
      </c>
      <c r="Z1122" s="76"/>
    </row>
    <row r="1123" spans="1:26" s="29" customFormat="1" ht="21.4" hidden="1" customHeight="1" x14ac:dyDescent="0.2">
      <c r="A1123" s="30"/>
      <c r="B1123" s="48" t="s">
        <v>6</v>
      </c>
      <c r="C1123" s="39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F1123" s="48" t="s">
        <v>23</v>
      </c>
      <c r="G1123" s="115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7"/>
      <c r="I1123" s="456" t="s">
        <v>72</v>
      </c>
      <c r="J1123" s="457"/>
      <c r="K1123" s="43">
        <f>G1123</f>
        <v>0</v>
      </c>
      <c r="L1123" s="55"/>
      <c r="N1123" s="71"/>
      <c r="O1123" s="72" t="s">
        <v>53</v>
      </c>
      <c r="P1123" s="72"/>
      <c r="Q1123" s="72"/>
      <c r="R1123" s="72" t="str">
        <f t="shared" si="228"/>
        <v/>
      </c>
      <c r="S1123" s="63"/>
      <c r="T1123" s="72" t="s">
        <v>53</v>
      </c>
      <c r="U1123" s="109" t="str">
        <f t="shared" si="231"/>
        <v/>
      </c>
      <c r="V1123" s="74"/>
      <c r="W1123" s="109" t="str">
        <f t="shared" si="230"/>
        <v/>
      </c>
      <c r="X1123" s="74"/>
      <c r="Y1123" s="109" t="str">
        <f t="shared" si="229"/>
        <v/>
      </c>
      <c r="Z1123" s="76"/>
    </row>
    <row r="1124" spans="1:26" s="29" customFormat="1" ht="21.4" hidden="1" customHeight="1" x14ac:dyDescent="0.2">
      <c r="A1124" s="30"/>
      <c r="B1124" s="56" t="s">
        <v>70</v>
      </c>
      <c r="C1124" s="39" t="str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/>
      </c>
      <c r="F1124" s="48" t="s">
        <v>69</v>
      </c>
      <c r="G1124" s="115" t="str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/>
      </c>
      <c r="I1124" s="458" t="s">
        <v>65</v>
      </c>
      <c r="J1124" s="459"/>
      <c r="K1124" s="57">
        <f>K1122-K1123</f>
        <v>0</v>
      </c>
      <c r="L1124" s="58"/>
      <c r="N1124" s="71"/>
      <c r="O1124" s="72" t="s">
        <v>58</v>
      </c>
      <c r="P1124" s="72"/>
      <c r="Q1124" s="72"/>
      <c r="R1124" s="72" t="str">
        <f t="shared" si="228"/>
        <v/>
      </c>
      <c r="S1124" s="63"/>
      <c r="T1124" s="72" t="s">
        <v>58</v>
      </c>
      <c r="U1124" s="109" t="str">
        <f t="shared" si="231"/>
        <v/>
      </c>
      <c r="V1124" s="74"/>
      <c r="W1124" s="109" t="str">
        <f t="shared" si="230"/>
        <v/>
      </c>
      <c r="X1124" s="74"/>
      <c r="Y1124" s="109" t="str">
        <f t="shared" si="229"/>
        <v/>
      </c>
      <c r="Z1124" s="76"/>
    </row>
    <row r="1125" spans="1:26" s="29" customFormat="1" ht="21.4" hidden="1" customHeight="1" x14ac:dyDescent="0.2">
      <c r="A1125" s="30"/>
      <c r="L1125" s="46"/>
      <c r="N1125" s="71"/>
      <c r="O1125" s="72" t="s">
        <v>54</v>
      </c>
      <c r="P1125" s="72"/>
      <c r="Q1125" s="72"/>
      <c r="R1125" s="72" t="str">
        <f t="shared" si="228"/>
        <v/>
      </c>
      <c r="S1125" s="63"/>
      <c r="T1125" s="72" t="s">
        <v>54</v>
      </c>
      <c r="U1125" s="109" t="str">
        <f>Y1124</f>
        <v/>
      </c>
      <c r="V1125" s="74"/>
      <c r="W1125" s="109" t="str">
        <f t="shared" si="230"/>
        <v/>
      </c>
      <c r="X1125" s="74"/>
      <c r="Y1125" s="109" t="str">
        <f t="shared" si="229"/>
        <v/>
      </c>
      <c r="Z1125" s="76"/>
    </row>
    <row r="1126" spans="1:26" s="29" customFormat="1" ht="21.4" hidden="1" customHeight="1" x14ac:dyDescent="0.2">
      <c r="A1126" s="30"/>
      <c r="B1126" s="455" t="s">
        <v>94</v>
      </c>
      <c r="C1126" s="455"/>
      <c r="D1126" s="455"/>
      <c r="E1126" s="455"/>
      <c r="F1126" s="455"/>
      <c r="G1126" s="455"/>
      <c r="H1126" s="455"/>
      <c r="I1126" s="455"/>
      <c r="J1126" s="455"/>
      <c r="K1126" s="455"/>
      <c r="L1126" s="46"/>
      <c r="N1126" s="71"/>
      <c r="O1126" s="72" t="s">
        <v>59</v>
      </c>
      <c r="P1126" s="72"/>
      <c r="Q1126" s="72"/>
      <c r="R1126" s="72">
        <v>0</v>
      </c>
      <c r="S1126" s="63"/>
      <c r="T1126" s="72" t="s">
        <v>59</v>
      </c>
      <c r="U1126" s="109" t="str">
        <f>Y1125</f>
        <v/>
      </c>
      <c r="V1126" s="74"/>
      <c r="W1126" s="109" t="str">
        <f t="shared" si="230"/>
        <v/>
      </c>
      <c r="X1126" s="74"/>
      <c r="Y1126" s="109" t="str">
        <f t="shared" si="229"/>
        <v/>
      </c>
      <c r="Z1126" s="76"/>
    </row>
    <row r="1127" spans="1:26" s="29" customFormat="1" ht="21.4" hidden="1" customHeight="1" x14ac:dyDescent="0.2">
      <c r="A1127" s="30"/>
      <c r="B1127" s="455"/>
      <c r="C1127" s="455"/>
      <c r="D1127" s="455"/>
      <c r="E1127" s="455"/>
      <c r="F1127" s="455"/>
      <c r="G1127" s="455"/>
      <c r="H1127" s="455"/>
      <c r="I1127" s="455"/>
      <c r="J1127" s="455"/>
      <c r="K1127" s="455"/>
      <c r="L1127" s="46"/>
      <c r="N1127" s="71"/>
      <c r="O1127" s="72" t="s">
        <v>60</v>
      </c>
      <c r="P1127" s="72"/>
      <c r="Q1127" s="72"/>
      <c r="R1127" s="72">
        <v>0</v>
      </c>
      <c r="S1127" s="63"/>
      <c r="T1127" s="72" t="s">
        <v>60</v>
      </c>
      <c r="U1127" s="109" t="str">
        <f>Y1126</f>
        <v/>
      </c>
      <c r="V1127" s="74"/>
      <c r="W1127" s="109" t="str">
        <f t="shared" si="230"/>
        <v/>
      </c>
      <c r="X1127" s="74"/>
      <c r="Y1127" s="109" t="str">
        <f t="shared" si="229"/>
        <v/>
      </c>
      <c r="Z1127" s="76"/>
    </row>
    <row r="1128" spans="1:26" s="29" customFormat="1" ht="21.4" hidden="1" customHeight="1" thickBot="1" x14ac:dyDescent="0.25">
      <c r="A1128" s="59"/>
      <c r="B1128" s="60"/>
      <c r="C1128" s="60"/>
      <c r="D1128" s="60"/>
      <c r="E1128" s="60"/>
      <c r="F1128" s="60"/>
      <c r="G1128" s="60"/>
      <c r="H1128" s="60"/>
      <c r="I1128" s="60"/>
      <c r="J1128" s="60"/>
      <c r="K1128" s="60"/>
      <c r="L1128" s="61"/>
      <c r="N1128" s="77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9"/>
    </row>
    <row r="1129" spans="1:26" s="29" customFormat="1" ht="21" hidden="1" customHeight="1" thickBot="1" x14ac:dyDescent="0.25">
      <c r="N1129" s="63"/>
      <c r="O1129" s="63"/>
      <c r="P1129" s="63"/>
      <c r="Q1129" s="63"/>
      <c r="R1129" s="63"/>
      <c r="S1129" s="63"/>
      <c r="T1129" s="63"/>
      <c r="U1129" s="63"/>
      <c r="V1129" s="63"/>
      <c r="W1129" s="63"/>
      <c r="X1129" s="63"/>
      <c r="Y1129" s="63"/>
      <c r="Z1129" s="63"/>
    </row>
    <row r="1130" spans="1:26" s="29" customFormat="1" ht="21.4" hidden="1" customHeight="1" x14ac:dyDescent="0.2">
      <c r="A1130" s="474" t="s">
        <v>42</v>
      </c>
      <c r="B1130" s="475"/>
      <c r="C1130" s="475"/>
      <c r="D1130" s="475"/>
      <c r="E1130" s="475"/>
      <c r="F1130" s="475"/>
      <c r="G1130" s="475"/>
      <c r="H1130" s="475"/>
      <c r="I1130" s="475"/>
      <c r="J1130" s="475"/>
      <c r="K1130" s="475"/>
      <c r="L1130" s="476"/>
      <c r="M1130" s="28"/>
      <c r="N1130" s="64"/>
      <c r="O1130" s="469" t="s">
        <v>44</v>
      </c>
      <c r="P1130" s="470"/>
      <c r="Q1130" s="470"/>
      <c r="R1130" s="471"/>
      <c r="S1130" s="65"/>
      <c r="T1130" s="469" t="s">
        <v>45</v>
      </c>
      <c r="U1130" s="470"/>
      <c r="V1130" s="470"/>
      <c r="W1130" s="470"/>
      <c r="X1130" s="470"/>
      <c r="Y1130" s="471"/>
      <c r="Z1130" s="66"/>
    </row>
    <row r="1131" spans="1:26" s="29" customFormat="1" ht="21.4" hidden="1" customHeight="1" x14ac:dyDescent="0.2">
      <c r="A1131" s="30"/>
      <c r="C1131" s="466" t="s">
        <v>92</v>
      </c>
      <c r="D1131" s="466"/>
      <c r="E1131" s="466"/>
      <c r="F1131" s="466"/>
      <c r="G1131" s="31" t="str">
        <f>$J$1</f>
        <v>October</v>
      </c>
      <c r="H1131" s="467">
        <f>$K$1</f>
        <v>2022</v>
      </c>
      <c r="I1131" s="467"/>
      <c r="K1131" s="32"/>
      <c r="L1131" s="33"/>
      <c r="M1131" s="32"/>
      <c r="N1131" s="67"/>
      <c r="O1131" s="68" t="s">
        <v>55</v>
      </c>
      <c r="P1131" s="68" t="s">
        <v>7</v>
      </c>
      <c r="Q1131" s="68" t="s">
        <v>6</v>
      </c>
      <c r="R1131" s="68" t="s">
        <v>56</v>
      </c>
      <c r="S1131" s="69"/>
      <c r="T1131" s="68" t="s">
        <v>55</v>
      </c>
      <c r="U1131" s="68" t="s">
        <v>57</v>
      </c>
      <c r="V1131" s="68" t="s">
        <v>22</v>
      </c>
      <c r="W1131" s="68" t="s">
        <v>21</v>
      </c>
      <c r="X1131" s="68" t="s">
        <v>23</v>
      </c>
      <c r="Y1131" s="68" t="s">
        <v>61</v>
      </c>
      <c r="Z1131" s="70"/>
    </row>
    <row r="1132" spans="1:26" s="29" customFormat="1" ht="21.4" hidden="1" customHeight="1" x14ac:dyDescent="0.2">
      <c r="A1132" s="30"/>
      <c r="D1132" s="35"/>
      <c r="E1132" s="35"/>
      <c r="F1132" s="35"/>
      <c r="G1132" s="35"/>
      <c r="H1132" s="35"/>
      <c r="J1132" s="36" t="s">
        <v>1</v>
      </c>
      <c r="K1132" s="37">
        <v>24500</v>
      </c>
      <c r="L1132" s="38"/>
      <c r="N1132" s="71"/>
      <c r="O1132" s="72" t="s">
        <v>47</v>
      </c>
      <c r="P1132" s="72">
        <v>30</v>
      </c>
      <c r="Q1132" s="72">
        <v>1</v>
      </c>
      <c r="R1132" s="72">
        <v>0</v>
      </c>
      <c r="S1132" s="73"/>
      <c r="T1132" s="72" t="s">
        <v>47</v>
      </c>
      <c r="U1132" s="74">
        <v>34565</v>
      </c>
      <c r="V1132" s="74">
        <v>1000</v>
      </c>
      <c r="W1132" s="74">
        <f>V1132+U1132</f>
        <v>35565</v>
      </c>
      <c r="X1132" s="74">
        <v>6000</v>
      </c>
      <c r="Y1132" s="74">
        <f>W1132-X1132</f>
        <v>29565</v>
      </c>
      <c r="Z1132" s="70"/>
    </row>
    <row r="1133" spans="1:26" s="29" customFormat="1" ht="21.4" hidden="1" customHeight="1" x14ac:dyDescent="0.2">
      <c r="A1133" s="30"/>
      <c r="B1133" s="29" t="s">
        <v>0</v>
      </c>
      <c r="C1133" s="40" t="s">
        <v>224</v>
      </c>
      <c r="H1133" s="41"/>
      <c r="I1133" s="35"/>
      <c r="L1133" s="42"/>
      <c r="M1133" s="28"/>
      <c r="N1133" s="75"/>
      <c r="O1133" s="72" t="s">
        <v>73</v>
      </c>
      <c r="P1133" s="72">
        <v>27</v>
      </c>
      <c r="Q1133" s="72">
        <v>1</v>
      </c>
      <c r="R1133" s="72">
        <v>0</v>
      </c>
      <c r="S1133" s="63"/>
      <c r="T1133" s="72" t="s">
        <v>73</v>
      </c>
      <c r="U1133" s="109">
        <f t="shared" ref="U1133:U1138" si="232">Y1132</f>
        <v>29565</v>
      </c>
      <c r="V1133" s="74"/>
      <c r="W1133" s="109">
        <f>IF(U1133="","",U1133+V1133)</f>
        <v>29565</v>
      </c>
      <c r="X1133" s="74">
        <v>6000</v>
      </c>
      <c r="Y1133" s="109">
        <f>IF(W1133="","",W1133-X1133)</f>
        <v>23565</v>
      </c>
      <c r="Z1133" s="76"/>
    </row>
    <row r="1134" spans="1:26" s="29" customFormat="1" ht="21.4" hidden="1" customHeight="1" x14ac:dyDescent="0.2">
      <c r="A1134" s="30"/>
      <c r="B1134" s="44" t="s">
        <v>43</v>
      </c>
      <c r="C1134" s="357" t="s">
        <v>226</v>
      </c>
      <c r="F1134" s="468" t="s">
        <v>45</v>
      </c>
      <c r="G1134" s="468"/>
      <c r="I1134" s="468" t="s">
        <v>46</v>
      </c>
      <c r="J1134" s="468"/>
      <c r="K1134" s="468"/>
      <c r="L1134" s="46"/>
      <c r="N1134" s="71"/>
      <c r="O1134" s="72" t="s">
        <v>48</v>
      </c>
      <c r="P1134" s="72">
        <v>29</v>
      </c>
      <c r="Q1134" s="72">
        <v>2</v>
      </c>
      <c r="R1134" s="72">
        <v>0</v>
      </c>
      <c r="S1134" s="63"/>
      <c r="T1134" s="72" t="s">
        <v>48</v>
      </c>
      <c r="U1134" s="109">
        <f t="shared" si="232"/>
        <v>23565</v>
      </c>
      <c r="V1134" s="74">
        <v>28</v>
      </c>
      <c r="W1134" s="109">
        <f t="shared" ref="W1134:W1143" si="233">IF(U1134="","",U1134+V1134)</f>
        <v>23593</v>
      </c>
      <c r="X1134" s="74">
        <v>6000</v>
      </c>
      <c r="Y1134" s="109">
        <f t="shared" ref="Y1134:Y1143" si="234">IF(W1134="","",W1134-X1134)</f>
        <v>17593</v>
      </c>
      <c r="Z1134" s="76"/>
    </row>
    <row r="1135" spans="1:26" s="29" customFormat="1" ht="21.4" hidden="1" customHeight="1" x14ac:dyDescent="0.2">
      <c r="A1135" s="30"/>
      <c r="H1135" s="47"/>
      <c r="L1135" s="34"/>
      <c r="N1135" s="71"/>
      <c r="O1135" s="72" t="s">
        <v>49</v>
      </c>
      <c r="P1135" s="72">
        <v>27</v>
      </c>
      <c r="Q1135" s="72">
        <v>3</v>
      </c>
      <c r="R1135" s="72">
        <v>0</v>
      </c>
      <c r="S1135" s="63"/>
      <c r="T1135" s="72" t="s">
        <v>49</v>
      </c>
      <c r="U1135" s="109">
        <f t="shared" si="232"/>
        <v>17593</v>
      </c>
      <c r="V1135" s="74">
        <v>500</v>
      </c>
      <c r="W1135" s="109">
        <f t="shared" si="233"/>
        <v>18093</v>
      </c>
      <c r="X1135" s="74">
        <v>6000</v>
      </c>
      <c r="Y1135" s="109">
        <f t="shared" si="234"/>
        <v>12093</v>
      </c>
      <c r="Z1135" s="76"/>
    </row>
    <row r="1136" spans="1:26" s="29" customFormat="1" ht="21.4" hidden="1" customHeight="1" x14ac:dyDescent="0.2">
      <c r="A1136" s="30"/>
      <c r="B1136" s="472" t="s">
        <v>44</v>
      </c>
      <c r="C1136" s="473"/>
      <c r="F1136" s="48" t="s">
        <v>66</v>
      </c>
      <c r="G1136" s="43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7"/>
      <c r="I1136" s="49">
        <f>IF(C1140&gt;0,$K$2,C1138)</f>
        <v>0</v>
      </c>
      <c r="J1136" s="50" t="s">
        <v>63</v>
      </c>
      <c r="K1136" s="51">
        <f>K1132/$K$2*I1136</f>
        <v>0</v>
      </c>
      <c r="L1136" s="52"/>
      <c r="N1136" s="71"/>
      <c r="O1136" s="72" t="s">
        <v>50</v>
      </c>
      <c r="P1136" s="72">
        <v>30</v>
      </c>
      <c r="Q1136" s="72">
        <v>1</v>
      </c>
      <c r="R1136" s="72">
        <v>0</v>
      </c>
      <c r="S1136" s="63"/>
      <c r="T1136" s="72" t="s">
        <v>50</v>
      </c>
      <c r="U1136" s="109">
        <f t="shared" si="232"/>
        <v>12093</v>
      </c>
      <c r="V1136" s="74">
        <v>1000</v>
      </c>
      <c r="W1136" s="109">
        <f t="shared" si="233"/>
        <v>13093</v>
      </c>
      <c r="X1136" s="74">
        <v>6000</v>
      </c>
      <c r="Y1136" s="109">
        <f t="shared" si="234"/>
        <v>7093</v>
      </c>
      <c r="Z1136" s="76"/>
    </row>
    <row r="1137" spans="1:27" s="29" customFormat="1" ht="21.4" hidden="1" customHeight="1" x14ac:dyDescent="0.2">
      <c r="A1137" s="30"/>
      <c r="B1137" s="39"/>
      <c r="C1137" s="39"/>
      <c r="F1137" s="48" t="s">
        <v>22</v>
      </c>
      <c r="G1137" s="43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7"/>
      <c r="I1137" s="84">
        <v>36</v>
      </c>
      <c r="J1137" s="50" t="s">
        <v>64</v>
      </c>
      <c r="K1137" s="53">
        <f>K1132/$K$2/8*I1137</f>
        <v>3556.4516129032259</v>
      </c>
      <c r="L1137" s="54"/>
      <c r="N1137" s="71"/>
      <c r="O1137" s="72" t="s">
        <v>51</v>
      </c>
      <c r="P1137" s="72">
        <v>28</v>
      </c>
      <c r="Q1137" s="72">
        <v>2</v>
      </c>
      <c r="R1137" s="72">
        <v>0</v>
      </c>
      <c r="S1137" s="63"/>
      <c r="T1137" s="72" t="s">
        <v>51</v>
      </c>
      <c r="U1137" s="109">
        <f t="shared" si="232"/>
        <v>7093</v>
      </c>
      <c r="V1137" s="74">
        <f>5000+5000</f>
        <v>10000</v>
      </c>
      <c r="W1137" s="109">
        <f t="shared" si="233"/>
        <v>17093</v>
      </c>
      <c r="X1137" s="74">
        <v>6000</v>
      </c>
      <c r="Y1137" s="109">
        <f t="shared" si="234"/>
        <v>11093</v>
      </c>
      <c r="Z1137" s="76"/>
    </row>
    <row r="1138" spans="1:27" s="29" customFormat="1" ht="21.4" hidden="1" customHeight="1" x14ac:dyDescent="0.2">
      <c r="A1138" s="30"/>
      <c r="B1138" s="48" t="s">
        <v>7</v>
      </c>
      <c r="C1138" s="39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F1138" s="48" t="s">
        <v>67</v>
      </c>
      <c r="G1138" s="43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7"/>
      <c r="I1138" s="456" t="s">
        <v>71</v>
      </c>
      <c r="J1138" s="457"/>
      <c r="K1138" s="53">
        <f>K1136+K1137</f>
        <v>3556.4516129032259</v>
      </c>
      <c r="L1138" s="54"/>
      <c r="N1138" s="71"/>
      <c r="O1138" s="72" t="s">
        <v>52</v>
      </c>
      <c r="P1138" s="72">
        <v>30</v>
      </c>
      <c r="Q1138" s="72">
        <v>1</v>
      </c>
      <c r="R1138" s="72">
        <v>0</v>
      </c>
      <c r="S1138" s="63"/>
      <c r="T1138" s="72" t="s">
        <v>52</v>
      </c>
      <c r="U1138" s="109">
        <f t="shared" si="232"/>
        <v>11093</v>
      </c>
      <c r="V1138" s="74">
        <v>5000</v>
      </c>
      <c r="W1138" s="109">
        <f t="shared" si="233"/>
        <v>16093</v>
      </c>
      <c r="X1138" s="74">
        <v>6000</v>
      </c>
      <c r="Y1138" s="109">
        <f t="shared" si="234"/>
        <v>10093</v>
      </c>
      <c r="Z1138" s="76"/>
    </row>
    <row r="1139" spans="1:27" s="29" customFormat="1" ht="21.4" hidden="1" customHeight="1" x14ac:dyDescent="0.2">
      <c r="A1139" s="30"/>
      <c r="B1139" s="48" t="s">
        <v>6</v>
      </c>
      <c r="C1139" s="39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F1139" s="48" t="s">
        <v>23</v>
      </c>
      <c r="G1139" s="43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7"/>
      <c r="I1139" s="456" t="s">
        <v>72</v>
      </c>
      <c r="J1139" s="457"/>
      <c r="K1139" s="43">
        <f>G1139</f>
        <v>0</v>
      </c>
      <c r="L1139" s="55"/>
      <c r="N1139" s="71"/>
      <c r="O1139" s="72" t="s">
        <v>53</v>
      </c>
      <c r="P1139" s="72">
        <v>16</v>
      </c>
      <c r="Q1139" s="72"/>
      <c r="R1139" s="72">
        <v>0</v>
      </c>
      <c r="S1139" s="63"/>
      <c r="T1139" s="72" t="s">
        <v>53</v>
      </c>
      <c r="U1139" s="109">
        <f>Y1138</f>
        <v>10093</v>
      </c>
      <c r="V1139" s="74"/>
      <c r="W1139" s="109">
        <f t="shared" si="233"/>
        <v>10093</v>
      </c>
      <c r="X1139" s="74">
        <v>10093</v>
      </c>
      <c r="Y1139" s="109">
        <f t="shared" si="234"/>
        <v>0</v>
      </c>
      <c r="Z1139" s="76"/>
    </row>
    <row r="1140" spans="1:27" s="29" customFormat="1" ht="21.4" hidden="1" customHeight="1" x14ac:dyDescent="0.2">
      <c r="A1140" s="30"/>
      <c r="B1140" s="56" t="s">
        <v>70</v>
      </c>
      <c r="C1140" s="39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F1140" s="48" t="s">
        <v>69</v>
      </c>
      <c r="G1140" s="43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I1140" s="458" t="s">
        <v>65</v>
      </c>
      <c r="J1140" s="459"/>
      <c r="K1140" s="57"/>
      <c r="L1140" s="58"/>
      <c r="N1140" s="71"/>
      <c r="O1140" s="72" t="s">
        <v>58</v>
      </c>
      <c r="P1140" s="72"/>
      <c r="Q1140" s="72"/>
      <c r="R1140" s="72">
        <v>0</v>
      </c>
      <c r="S1140" s="63"/>
      <c r="T1140" s="72" t="s">
        <v>58</v>
      </c>
      <c r="U1140" s="109">
        <f>Y1139</f>
        <v>0</v>
      </c>
      <c r="V1140" s="74"/>
      <c r="W1140" s="109">
        <f t="shared" si="233"/>
        <v>0</v>
      </c>
      <c r="X1140" s="74"/>
      <c r="Y1140" s="109">
        <f t="shared" si="234"/>
        <v>0</v>
      </c>
      <c r="Z1140" s="76"/>
    </row>
    <row r="1141" spans="1:27" s="29" customFormat="1" ht="21.4" hidden="1" customHeight="1" x14ac:dyDescent="0.2">
      <c r="A1141" s="30"/>
      <c r="K1141" s="113"/>
      <c r="L1141" s="46"/>
      <c r="N1141" s="71"/>
      <c r="O1141" s="72" t="s">
        <v>54</v>
      </c>
      <c r="P1141" s="72"/>
      <c r="Q1141" s="72"/>
      <c r="R1141" s="72">
        <v>0</v>
      </c>
      <c r="S1141" s="63"/>
      <c r="T1141" s="72" t="s">
        <v>54</v>
      </c>
      <c r="U1141" s="109">
        <v>0</v>
      </c>
      <c r="V1141" s="74"/>
      <c r="W1141" s="109">
        <f t="shared" si="233"/>
        <v>0</v>
      </c>
      <c r="X1141" s="74"/>
      <c r="Y1141" s="109">
        <f t="shared" si="234"/>
        <v>0</v>
      </c>
      <c r="Z1141" s="76"/>
    </row>
    <row r="1142" spans="1:27" s="29" customFormat="1" ht="21.4" hidden="1" customHeight="1" x14ac:dyDescent="0.2">
      <c r="A1142" s="30"/>
      <c r="B1142" s="455" t="s">
        <v>94</v>
      </c>
      <c r="C1142" s="455"/>
      <c r="D1142" s="455"/>
      <c r="E1142" s="455"/>
      <c r="F1142" s="455"/>
      <c r="G1142" s="455"/>
      <c r="H1142" s="455"/>
      <c r="I1142" s="455"/>
      <c r="J1142" s="455"/>
      <c r="K1142" s="455"/>
      <c r="L1142" s="46"/>
      <c r="N1142" s="71"/>
      <c r="O1142" s="72" t="s">
        <v>59</v>
      </c>
      <c r="P1142" s="72"/>
      <c r="Q1142" s="72"/>
      <c r="R1142" s="72">
        <v>0</v>
      </c>
      <c r="S1142" s="63"/>
      <c r="T1142" s="72" t="s">
        <v>59</v>
      </c>
      <c r="U1142" s="109"/>
      <c r="V1142" s="74"/>
      <c r="W1142" s="109" t="str">
        <f t="shared" si="233"/>
        <v/>
      </c>
      <c r="X1142" s="74"/>
      <c r="Y1142" s="109" t="str">
        <f t="shared" si="234"/>
        <v/>
      </c>
      <c r="Z1142" s="76"/>
    </row>
    <row r="1143" spans="1:27" s="29" customFormat="1" ht="21.4" hidden="1" customHeight="1" x14ac:dyDescent="0.2">
      <c r="A1143" s="30"/>
      <c r="B1143" s="455"/>
      <c r="C1143" s="455"/>
      <c r="D1143" s="455"/>
      <c r="E1143" s="455"/>
      <c r="F1143" s="455"/>
      <c r="G1143" s="455"/>
      <c r="H1143" s="455"/>
      <c r="I1143" s="455"/>
      <c r="J1143" s="455"/>
      <c r="K1143" s="455"/>
      <c r="L1143" s="46"/>
      <c r="N1143" s="71"/>
      <c r="O1143" s="72" t="s">
        <v>60</v>
      </c>
      <c r="P1143" s="72"/>
      <c r="Q1143" s="72"/>
      <c r="R1143" s="72">
        <v>0</v>
      </c>
      <c r="S1143" s="63"/>
      <c r="T1143" s="72" t="s">
        <v>60</v>
      </c>
      <c r="U1143" s="109"/>
      <c r="V1143" s="74"/>
      <c r="W1143" s="109" t="str">
        <f t="shared" si="233"/>
        <v/>
      </c>
      <c r="X1143" s="74"/>
      <c r="Y1143" s="109" t="str">
        <f t="shared" si="234"/>
        <v/>
      </c>
      <c r="Z1143" s="76"/>
    </row>
    <row r="1144" spans="1:27" s="29" customFormat="1" ht="21.4" hidden="1" customHeight="1" thickBot="1" x14ac:dyDescent="0.25">
      <c r="A1144" s="59"/>
      <c r="B1144" s="60"/>
      <c r="C1144" s="60"/>
      <c r="D1144" s="60"/>
      <c r="E1144" s="60"/>
      <c r="F1144" s="60"/>
      <c r="G1144" s="60"/>
      <c r="H1144" s="60"/>
      <c r="I1144" s="60"/>
      <c r="J1144" s="60"/>
      <c r="K1144" s="60"/>
      <c r="L1144" s="61"/>
      <c r="N1144" s="77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  <c r="Y1144" s="78"/>
      <c r="Z1144" s="79"/>
    </row>
    <row r="1145" spans="1:27" s="29" customFormat="1" ht="21" customHeight="1" thickBot="1" x14ac:dyDescent="0.25">
      <c r="N1145" s="63"/>
      <c r="O1145" s="63"/>
      <c r="P1145" s="63"/>
      <c r="Q1145" s="63"/>
      <c r="R1145" s="63"/>
      <c r="S1145" s="63"/>
      <c r="T1145" s="63"/>
      <c r="U1145" s="63"/>
      <c r="V1145" s="63"/>
      <c r="W1145" s="63"/>
      <c r="X1145" s="63"/>
      <c r="Y1145" s="63"/>
      <c r="Z1145" s="63"/>
    </row>
    <row r="1146" spans="1:27" s="29" customFormat="1" ht="21" hidden="1" customHeight="1" x14ac:dyDescent="0.2">
      <c r="A1146" s="460" t="s">
        <v>42</v>
      </c>
      <c r="B1146" s="461"/>
      <c r="C1146" s="461"/>
      <c r="D1146" s="461"/>
      <c r="E1146" s="461"/>
      <c r="F1146" s="461"/>
      <c r="G1146" s="461"/>
      <c r="H1146" s="461"/>
      <c r="I1146" s="461"/>
      <c r="J1146" s="461"/>
      <c r="K1146" s="461"/>
      <c r="L1146" s="462"/>
      <c r="M1146" s="28"/>
      <c r="N1146" s="64"/>
      <c r="O1146" s="469" t="s">
        <v>44</v>
      </c>
      <c r="P1146" s="470"/>
      <c r="Q1146" s="470"/>
      <c r="R1146" s="471"/>
      <c r="S1146" s="65"/>
      <c r="T1146" s="469" t="s">
        <v>45</v>
      </c>
      <c r="U1146" s="470"/>
      <c r="V1146" s="470"/>
      <c r="W1146" s="470"/>
      <c r="X1146" s="470"/>
      <c r="Y1146" s="471"/>
      <c r="Z1146" s="66"/>
      <c r="AA1146" s="28"/>
    </row>
    <row r="1147" spans="1:27" s="29" customFormat="1" ht="21" hidden="1" customHeight="1" x14ac:dyDescent="0.2">
      <c r="A1147" s="30"/>
      <c r="C1147" s="466" t="s">
        <v>92</v>
      </c>
      <c r="D1147" s="466"/>
      <c r="E1147" s="466"/>
      <c r="F1147" s="466"/>
      <c r="G1147" s="31" t="str">
        <f>$J$1</f>
        <v>October</v>
      </c>
      <c r="H1147" s="467">
        <f>$K$1</f>
        <v>2022</v>
      </c>
      <c r="I1147" s="467"/>
      <c r="K1147" s="32"/>
      <c r="L1147" s="33"/>
      <c r="M1147" s="32"/>
      <c r="N1147" s="67"/>
      <c r="O1147" s="68" t="s">
        <v>55</v>
      </c>
      <c r="P1147" s="68" t="s">
        <v>7</v>
      </c>
      <c r="Q1147" s="68" t="s">
        <v>6</v>
      </c>
      <c r="R1147" s="68" t="s">
        <v>56</v>
      </c>
      <c r="S1147" s="69"/>
      <c r="T1147" s="68" t="s">
        <v>55</v>
      </c>
      <c r="U1147" s="68" t="s">
        <v>57</v>
      </c>
      <c r="V1147" s="68" t="s">
        <v>22</v>
      </c>
      <c r="W1147" s="68" t="s">
        <v>21</v>
      </c>
      <c r="X1147" s="68" t="s">
        <v>23</v>
      </c>
      <c r="Y1147" s="68" t="s">
        <v>61</v>
      </c>
      <c r="Z1147" s="70"/>
      <c r="AA1147" s="32"/>
    </row>
    <row r="1148" spans="1:27" s="29" customFormat="1" ht="21" hidden="1" customHeight="1" x14ac:dyDescent="0.2">
      <c r="A1148" s="30"/>
      <c r="D1148" s="35"/>
      <c r="E1148" s="35"/>
      <c r="F1148" s="35"/>
      <c r="G1148" s="35"/>
      <c r="H1148" s="35"/>
      <c r="J1148" s="36" t="s">
        <v>1</v>
      </c>
      <c r="K1148" s="37"/>
      <c r="L1148" s="38"/>
      <c r="N1148" s="71"/>
      <c r="O1148" s="72" t="s">
        <v>47</v>
      </c>
      <c r="P1148" s="72"/>
      <c r="Q1148" s="72"/>
      <c r="R1148" s="72"/>
      <c r="S1148" s="73"/>
      <c r="T1148" s="72" t="s">
        <v>47</v>
      </c>
      <c r="U1148" s="74"/>
      <c r="V1148" s="74"/>
      <c r="W1148" s="74">
        <f>V1148+U1148</f>
        <v>0</v>
      </c>
      <c r="X1148" s="74"/>
      <c r="Y1148" s="74">
        <f>W1148-X1148</f>
        <v>0</v>
      </c>
      <c r="Z1148" s="70"/>
    </row>
    <row r="1149" spans="1:27" s="29" customFormat="1" ht="21" hidden="1" customHeight="1" x14ac:dyDescent="0.2">
      <c r="A1149" s="30"/>
      <c r="B1149" s="29" t="s">
        <v>0</v>
      </c>
      <c r="C1149" s="40"/>
      <c r="H1149" s="41"/>
      <c r="I1149" s="35"/>
      <c r="L1149" s="42"/>
      <c r="M1149" s="28"/>
      <c r="N1149" s="75"/>
      <c r="O1149" s="72" t="s">
        <v>73</v>
      </c>
      <c r="P1149" s="72"/>
      <c r="Q1149" s="72"/>
      <c r="R1149" s="72" t="str">
        <f t="shared" ref="R1149:R1156" si="235">IF(Q1149="","",R1148-Q1149)</f>
        <v/>
      </c>
      <c r="S1149" s="63"/>
      <c r="T1149" s="72" t="s">
        <v>73</v>
      </c>
      <c r="U1149" s="109">
        <f>IF($J$1="January","",Y1148)</f>
        <v>0</v>
      </c>
      <c r="V1149" s="74"/>
      <c r="W1149" s="109">
        <f>IF(U1149="","",U1149+V1149)</f>
        <v>0</v>
      </c>
      <c r="X1149" s="74"/>
      <c r="Y1149" s="109">
        <f>IF(W1149="","",W1149-X1149)</f>
        <v>0</v>
      </c>
      <c r="Z1149" s="76"/>
      <c r="AA1149" s="28"/>
    </row>
    <row r="1150" spans="1:27" s="29" customFormat="1" ht="21" hidden="1" customHeight="1" x14ac:dyDescent="0.2">
      <c r="A1150" s="30"/>
      <c r="B1150" s="44" t="s">
        <v>43</v>
      </c>
      <c r="C1150" s="45"/>
      <c r="F1150" s="468" t="s">
        <v>45</v>
      </c>
      <c r="G1150" s="468"/>
      <c r="I1150" s="468" t="s">
        <v>46</v>
      </c>
      <c r="J1150" s="468"/>
      <c r="K1150" s="468"/>
      <c r="L1150" s="46"/>
      <c r="N1150" s="71"/>
      <c r="O1150" s="72" t="s">
        <v>48</v>
      </c>
      <c r="P1150" s="72"/>
      <c r="Q1150" s="72"/>
      <c r="R1150" s="72" t="str">
        <f t="shared" si="235"/>
        <v/>
      </c>
      <c r="S1150" s="63"/>
      <c r="T1150" s="72" t="s">
        <v>48</v>
      </c>
      <c r="U1150" s="109">
        <f>IF($J$1="February","",Y1149)</f>
        <v>0</v>
      </c>
      <c r="V1150" s="74"/>
      <c r="W1150" s="109">
        <f t="shared" ref="W1150:W1159" si="236">IF(U1150="","",U1150+V1150)</f>
        <v>0</v>
      </c>
      <c r="X1150" s="74"/>
      <c r="Y1150" s="109">
        <f t="shared" ref="Y1150:Y1159" si="237">IF(W1150="","",W1150-X1150)</f>
        <v>0</v>
      </c>
      <c r="Z1150" s="76"/>
    </row>
    <row r="1151" spans="1:27" s="29" customFormat="1" ht="21" hidden="1" customHeight="1" x14ac:dyDescent="0.2">
      <c r="A1151" s="30"/>
      <c r="H1151" s="47"/>
      <c r="L1151" s="34"/>
      <c r="N1151" s="71"/>
      <c r="O1151" s="72" t="s">
        <v>49</v>
      </c>
      <c r="P1151" s="72"/>
      <c r="Q1151" s="72"/>
      <c r="R1151" s="72" t="str">
        <f t="shared" si="235"/>
        <v/>
      </c>
      <c r="S1151" s="63"/>
      <c r="T1151" s="72" t="s">
        <v>49</v>
      </c>
      <c r="U1151" s="109">
        <f>IF($J$1="March","",Y1150)</f>
        <v>0</v>
      </c>
      <c r="V1151" s="74"/>
      <c r="W1151" s="109">
        <f t="shared" si="236"/>
        <v>0</v>
      </c>
      <c r="X1151" s="74"/>
      <c r="Y1151" s="109">
        <f t="shared" si="237"/>
        <v>0</v>
      </c>
      <c r="Z1151" s="76"/>
    </row>
    <row r="1152" spans="1:27" s="29" customFormat="1" ht="21" hidden="1" customHeight="1" x14ac:dyDescent="0.2">
      <c r="A1152" s="30"/>
      <c r="B1152" s="472" t="s">
        <v>44</v>
      </c>
      <c r="C1152" s="473"/>
      <c r="F1152" s="48" t="s">
        <v>66</v>
      </c>
      <c r="G1152" s="97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7"/>
      <c r="I1152" s="49">
        <f>IF(C1156&gt;0,$K$2,C1154)</f>
        <v>0</v>
      </c>
      <c r="J1152" s="50" t="s">
        <v>63</v>
      </c>
      <c r="K1152" s="51">
        <f>K1148/$K$2*I1152</f>
        <v>0</v>
      </c>
      <c r="L1152" s="52"/>
      <c r="N1152" s="71"/>
      <c r="O1152" s="72" t="s">
        <v>50</v>
      </c>
      <c r="P1152" s="72"/>
      <c r="Q1152" s="72"/>
      <c r="R1152" s="72" t="str">
        <f t="shared" si="235"/>
        <v/>
      </c>
      <c r="S1152" s="63"/>
      <c r="T1152" s="72" t="s">
        <v>50</v>
      </c>
      <c r="U1152" s="109">
        <f>IF($J$1="April","",Y1151)</f>
        <v>0</v>
      </c>
      <c r="V1152" s="74"/>
      <c r="W1152" s="109">
        <f t="shared" si="236"/>
        <v>0</v>
      </c>
      <c r="X1152" s="74"/>
      <c r="Y1152" s="109">
        <f t="shared" si="237"/>
        <v>0</v>
      </c>
      <c r="Z1152" s="76"/>
    </row>
    <row r="1153" spans="1:27" s="29" customFormat="1" ht="21" hidden="1" customHeight="1" x14ac:dyDescent="0.2">
      <c r="A1153" s="30"/>
      <c r="B1153" s="39"/>
      <c r="C1153" s="39"/>
      <c r="F1153" s="48" t="s">
        <v>22</v>
      </c>
      <c r="G1153" s="97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7"/>
      <c r="I1153" s="84"/>
      <c r="J1153" s="50" t="s">
        <v>64</v>
      </c>
      <c r="K1153" s="53">
        <f>K1148/$K$2/8*I1153</f>
        <v>0</v>
      </c>
      <c r="L1153" s="54"/>
      <c r="N1153" s="71"/>
      <c r="O1153" s="72" t="s">
        <v>51</v>
      </c>
      <c r="P1153" s="72"/>
      <c r="Q1153" s="72"/>
      <c r="R1153" s="72" t="str">
        <f t="shared" si="235"/>
        <v/>
      </c>
      <c r="S1153" s="63"/>
      <c r="T1153" s="72" t="s">
        <v>51</v>
      </c>
      <c r="U1153" s="109">
        <f>IF($J$1="May","",Y1152)</f>
        <v>0</v>
      </c>
      <c r="V1153" s="74"/>
      <c r="W1153" s="109">
        <f t="shared" si="236"/>
        <v>0</v>
      </c>
      <c r="X1153" s="74"/>
      <c r="Y1153" s="109">
        <f t="shared" si="237"/>
        <v>0</v>
      </c>
      <c r="Z1153" s="76"/>
    </row>
    <row r="1154" spans="1:27" s="29" customFormat="1" ht="21" hidden="1" customHeight="1" x14ac:dyDescent="0.2">
      <c r="A1154" s="30"/>
      <c r="B1154" s="48" t="s">
        <v>7</v>
      </c>
      <c r="C1154" s="39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F1154" s="48" t="s">
        <v>67</v>
      </c>
      <c r="G1154" s="97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7"/>
      <c r="I1154" s="456" t="s">
        <v>71</v>
      </c>
      <c r="J1154" s="457"/>
      <c r="K1154" s="53">
        <f>K1152+K1153</f>
        <v>0</v>
      </c>
      <c r="L1154" s="54"/>
      <c r="N1154" s="71"/>
      <c r="O1154" s="72" t="s">
        <v>52</v>
      </c>
      <c r="P1154" s="72"/>
      <c r="Q1154" s="72"/>
      <c r="R1154" s="72" t="str">
        <f t="shared" si="235"/>
        <v/>
      </c>
      <c r="S1154" s="63"/>
      <c r="T1154" s="72" t="s">
        <v>52</v>
      </c>
      <c r="U1154" s="109">
        <f>IF($J$1="June","",Y1153)</f>
        <v>0</v>
      </c>
      <c r="V1154" s="74"/>
      <c r="W1154" s="109">
        <f t="shared" si="236"/>
        <v>0</v>
      </c>
      <c r="X1154" s="74"/>
      <c r="Y1154" s="109">
        <f t="shared" si="237"/>
        <v>0</v>
      </c>
      <c r="Z1154" s="76"/>
    </row>
    <row r="1155" spans="1:27" s="29" customFormat="1" ht="21" hidden="1" customHeight="1" x14ac:dyDescent="0.2">
      <c r="A1155" s="30"/>
      <c r="B1155" s="48" t="s">
        <v>6</v>
      </c>
      <c r="C1155" s="39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F1155" s="48" t="s">
        <v>23</v>
      </c>
      <c r="G1155" s="97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7"/>
      <c r="I1155" s="456" t="s">
        <v>72</v>
      </c>
      <c r="J1155" s="457"/>
      <c r="K1155" s="43">
        <f>G1155</f>
        <v>0</v>
      </c>
      <c r="L1155" s="55"/>
      <c r="N1155" s="71"/>
      <c r="O1155" s="72" t="s">
        <v>53</v>
      </c>
      <c r="P1155" s="72"/>
      <c r="Q1155" s="72"/>
      <c r="R1155" s="72" t="str">
        <f t="shared" si="235"/>
        <v/>
      </c>
      <c r="S1155" s="63"/>
      <c r="T1155" s="72" t="s">
        <v>53</v>
      </c>
      <c r="U1155" s="109">
        <f>IF($J$1="July","",Y1154)</f>
        <v>0</v>
      </c>
      <c r="V1155" s="74"/>
      <c r="W1155" s="109">
        <f t="shared" si="236"/>
        <v>0</v>
      </c>
      <c r="X1155" s="74"/>
      <c r="Y1155" s="109">
        <f t="shared" si="237"/>
        <v>0</v>
      </c>
      <c r="Z1155" s="76"/>
    </row>
    <row r="1156" spans="1:27" s="29" customFormat="1" ht="21" hidden="1" customHeight="1" x14ac:dyDescent="0.2">
      <c r="A1156" s="30"/>
      <c r="B1156" s="56" t="s">
        <v>70</v>
      </c>
      <c r="C1156" s="39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F1156" s="48" t="s">
        <v>69</v>
      </c>
      <c r="G1156" s="97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I1156" s="458" t="s">
        <v>65</v>
      </c>
      <c r="J1156" s="459"/>
      <c r="K1156" s="57">
        <f>K1154-K1155</f>
        <v>0</v>
      </c>
      <c r="L1156" s="58"/>
      <c r="N1156" s="71"/>
      <c r="O1156" s="72" t="s">
        <v>58</v>
      </c>
      <c r="P1156" s="72"/>
      <c r="Q1156" s="72"/>
      <c r="R1156" s="72" t="str">
        <f t="shared" si="235"/>
        <v/>
      </c>
      <c r="S1156" s="63"/>
      <c r="T1156" s="72" t="s">
        <v>58</v>
      </c>
      <c r="U1156" s="109">
        <f>IF($J$1="August","",Y1155)</f>
        <v>0</v>
      </c>
      <c r="V1156" s="74"/>
      <c r="W1156" s="109">
        <f t="shared" si="236"/>
        <v>0</v>
      </c>
      <c r="X1156" s="74"/>
      <c r="Y1156" s="109">
        <f t="shared" si="237"/>
        <v>0</v>
      </c>
      <c r="Z1156" s="76"/>
    </row>
    <row r="1157" spans="1:27" s="29" customFormat="1" ht="21" hidden="1" customHeight="1" x14ac:dyDescent="0.2">
      <c r="A1157" s="30"/>
      <c r="K1157" s="113"/>
      <c r="L1157" s="46"/>
      <c r="N1157" s="71"/>
      <c r="O1157" s="72" t="s">
        <v>54</v>
      </c>
      <c r="P1157" s="72"/>
      <c r="Q1157" s="72"/>
      <c r="R1157" s="72"/>
      <c r="S1157" s="63"/>
      <c r="T1157" s="72" t="s">
        <v>54</v>
      </c>
      <c r="U1157" s="109">
        <f>IF($J$1="September","",Y1156)</f>
        <v>0</v>
      </c>
      <c r="V1157" s="74"/>
      <c r="W1157" s="109">
        <f t="shared" si="236"/>
        <v>0</v>
      </c>
      <c r="X1157" s="74"/>
      <c r="Y1157" s="109">
        <f t="shared" si="237"/>
        <v>0</v>
      </c>
      <c r="Z1157" s="76"/>
    </row>
    <row r="1158" spans="1:27" s="29" customFormat="1" ht="21" hidden="1" customHeight="1" x14ac:dyDescent="0.2">
      <c r="A1158" s="30"/>
      <c r="B1158" s="455"/>
      <c r="C1158" s="455"/>
      <c r="D1158" s="455"/>
      <c r="E1158" s="455"/>
      <c r="F1158" s="455"/>
      <c r="G1158" s="455"/>
      <c r="H1158" s="455"/>
      <c r="I1158" s="455"/>
      <c r="J1158" s="455"/>
      <c r="K1158" s="455"/>
      <c r="L1158" s="46"/>
      <c r="N1158" s="71"/>
      <c r="O1158" s="72" t="s">
        <v>59</v>
      </c>
      <c r="P1158" s="72"/>
      <c r="Q1158" s="72"/>
      <c r="R1158" s="72"/>
      <c r="S1158" s="63"/>
      <c r="T1158" s="72" t="s">
        <v>59</v>
      </c>
      <c r="U1158" s="109" t="str">
        <f>IF($J$1="October","",Y1157)</f>
        <v/>
      </c>
      <c r="V1158" s="74"/>
      <c r="W1158" s="109" t="str">
        <f t="shared" si="236"/>
        <v/>
      </c>
      <c r="X1158" s="74"/>
      <c r="Y1158" s="109" t="str">
        <f t="shared" si="237"/>
        <v/>
      </c>
      <c r="Z1158" s="76"/>
    </row>
    <row r="1159" spans="1:27" s="29" customFormat="1" ht="21" hidden="1" customHeight="1" x14ac:dyDescent="0.2">
      <c r="A1159" s="30"/>
      <c r="B1159" s="455"/>
      <c r="C1159" s="455"/>
      <c r="D1159" s="455"/>
      <c r="E1159" s="455"/>
      <c r="F1159" s="455"/>
      <c r="G1159" s="455"/>
      <c r="H1159" s="455"/>
      <c r="I1159" s="455"/>
      <c r="J1159" s="455"/>
      <c r="K1159" s="455"/>
      <c r="L1159" s="46"/>
      <c r="N1159" s="71"/>
      <c r="O1159" s="72" t="s">
        <v>60</v>
      </c>
      <c r="P1159" s="72"/>
      <c r="Q1159" s="72"/>
      <c r="R1159" s="72">
        <v>0</v>
      </c>
      <c r="S1159" s="63"/>
      <c r="T1159" s="72" t="s">
        <v>60</v>
      </c>
      <c r="U1159" s="109" t="str">
        <f>IF($J$1="November","",Y1158)</f>
        <v/>
      </c>
      <c r="V1159" s="74"/>
      <c r="W1159" s="109" t="str">
        <f t="shared" si="236"/>
        <v/>
      </c>
      <c r="X1159" s="74"/>
      <c r="Y1159" s="109" t="str">
        <f t="shared" si="237"/>
        <v/>
      </c>
      <c r="Z1159" s="76"/>
    </row>
    <row r="1160" spans="1:27" s="29" customFormat="1" ht="21" hidden="1" customHeight="1" thickBot="1" x14ac:dyDescent="0.25">
      <c r="A1160" s="59"/>
      <c r="B1160" s="60"/>
      <c r="C1160" s="60"/>
      <c r="D1160" s="60"/>
      <c r="E1160" s="60"/>
      <c r="F1160" s="60"/>
      <c r="G1160" s="60"/>
      <c r="H1160" s="60"/>
      <c r="I1160" s="60"/>
      <c r="J1160" s="60"/>
      <c r="K1160" s="60"/>
      <c r="L1160" s="61"/>
      <c r="N1160" s="77"/>
      <c r="O1160" s="78"/>
      <c r="P1160" s="78"/>
      <c r="Q1160" s="78"/>
      <c r="R1160" s="78"/>
      <c r="S1160" s="78"/>
      <c r="T1160" s="78"/>
      <c r="U1160" s="78"/>
      <c r="V1160" s="78"/>
      <c r="W1160" s="78"/>
      <c r="X1160" s="78"/>
      <c r="Y1160" s="78"/>
      <c r="Z1160" s="79"/>
    </row>
    <row r="1161" spans="1:27" s="29" customFormat="1" ht="21" hidden="1" customHeight="1" thickBot="1" x14ac:dyDescent="0.25">
      <c r="N1161" s="63"/>
      <c r="O1161" s="63"/>
      <c r="P1161" s="63"/>
      <c r="Q1161" s="63"/>
      <c r="R1161" s="63"/>
      <c r="S1161" s="63"/>
      <c r="T1161" s="63"/>
      <c r="U1161" s="63"/>
      <c r="V1161" s="63"/>
      <c r="W1161" s="63"/>
      <c r="X1161" s="63"/>
      <c r="Y1161" s="63"/>
      <c r="Z1161" s="63"/>
    </row>
    <row r="1162" spans="1:27" s="29" customFormat="1" ht="21" hidden="1" customHeight="1" x14ac:dyDescent="0.2">
      <c r="A1162" s="460" t="s">
        <v>42</v>
      </c>
      <c r="B1162" s="461"/>
      <c r="C1162" s="461"/>
      <c r="D1162" s="461"/>
      <c r="E1162" s="461"/>
      <c r="F1162" s="461"/>
      <c r="G1162" s="461"/>
      <c r="H1162" s="461"/>
      <c r="I1162" s="461"/>
      <c r="J1162" s="461"/>
      <c r="K1162" s="461"/>
      <c r="L1162" s="462"/>
      <c r="M1162" s="28"/>
      <c r="N1162" s="64"/>
      <c r="O1162" s="469" t="s">
        <v>44</v>
      </c>
      <c r="P1162" s="470"/>
      <c r="Q1162" s="470"/>
      <c r="R1162" s="471"/>
      <c r="S1162" s="65"/>
      <c r="T1162" s="469" t="s">
        <v>45</v>
      </c>
      <c r="U1162" s="470"/>
      <c r="V1162" s="470"/>
      <c r="W1162" s="470"/>
      <c r="X1162" s="470"/>
      <c r="Y1162" s="471"/>
      <c r="Z1162" s="66"/>
      <c r="AA1162" s="28"/>
    </row>
    <row r="1163" spans="1:27" s="29" customFormat="1" ht="21" hidden="1" customHeight="1" x14ac:dyDescent="0.2">
      <c r="A1163" s="30"/>
      <c r="C1163" s="466" t="s">
        <v>92</v>
      </c>
      <c r="D1163" s="466"/>
      <c r="E1163" s="466"/>
      <c r="F1163" s="466"/>
      <c r="G1163" s="31" t="str">
        <f>$J$1</f>
        <v>October</v>
      </c>
      <c r="H1163" s="467">
        <f>$K$1</f>
        <v>2022</v>
      </c>
      <c r="I1163" s="467"/>
      <c r="K1163" s="32"/>
      <c r="L1163" s="33"/>
      <c r="M1163" s="32"/>
      <c r="N1163" s="67"/>
      <c r="O1163" s="68" t="s">
        <v>55</v>
      </c>
      <c r="P1163" s="68" t="s">
        <v>7</v>
      </c>
      <c r="Q1163" s="68" t="s">
        <v>6</v>
      </c>
      <c r="R1163" s="68" t="s">
        <v>56</v>
      </c>
      <c r="S1163" s="69"/>
      <c r="T1163" s="68" t="s">
        <v>55</v>
      </c>
      <c r="U1163" s="68" t="s">
        <v>57</v>
      </c>
      <c r="V1163" s="68" t="s">
        <v>22</v>
      </c>
      <c r="W1163" s="68" t="s">
        <v>21</v>
      </c>
      <c r="X1163" s="68" t="s">
        <v>23</v>
      </c>
      <c r="Y1163" s="68" t="s">
        <v>61</v>
      </c>
      <c r="Z1163" s="70"/>
      <c r="AA1163" s="32"/>
    </row>
    <row r="1164" spans="1:27" s="29" customFormat="1" ht="21" hidden="1" customHeight="1" x14ac:dyDescent="0.2">
      <c r="A1164" s="30"/>
      <c r="D1164" s="35"/>
      <c r="E1164" s="35"/>
      <c r="F1164" s="35"/>
      <c r="G1164" s="35"/>
      <c r="H1164" s="35"/>
      <c r="J1164" s="36" t="s">
        <v>1</v>
      </c>
      <c r="K1164" s="37"/>
      <c r="L1164" s="38"/>
      <c r="N1164" s="71"/>
      <c r="O1164" s="72" t="s">
        <v>47</v>
      </c>
      <c r="P1164" s="72"/>
      <c r="Q1164" s="72"/>
      <c r="R1164" s="72">
        <f>3-Q1164</f>
        <v>3</v>
      </c>
      <c r="S1164" s="73"/>
      <c r="T1164" s="72" t="s">
        <v>47</v>
      </c>
      <c r="U1164" s="74"/>
      <c r="V1164" s="74"/>
      <c r="W1164" s="74">
        <f>V1164+U1164</f>
        <v>0</v>
      </c>
      <c r="X1164" s="74"/>
      <c r="Y1164" s="74">
        <f>W1164-X1164</f>
        <v>0</v>
      </c>
      <c r="Z1164" s="70"/>
    </row>
    <row r="1165" spans="1:27" s="29" customFormat="1" ht="21" hidden="1" customHeight="1" x14ac:dyDescent="0.2">
      <c r="A1165" s="30"/>
      <c r="B1165" s="29" t="s">
        <v>0</v>
      </c>
      <c r="C1165" s="40"/>
      <c r="H1165" s="41"/>
      <c r="I1165" s="35"/>
      <c r="L1165" s="42"/>
      <c r="M1165" s="28"/>
      <c r="N1165" s="75"/>
      <c r="O1165" s="72" t="s">
        <v>73</v>
      </c>
      <c r="P1165" s="72"/>
      <c r="Q1165" s="72"/>
      <c r="R1165" s="72">
        <v>0</v>
      </c>
      <c r="S1165" s="63"/>
      <c r="T1165" s="72" t="s">
        <v>73</v>
      </c>
      <c r="U1165" s="109">
        <f>IF($J$1="January","",Y1164)</f>
        <v>0</v>
      </c>
      <c r="V1165" s="74"/>
      <c r="W1165" s="109">
        <f>IF(U1165="","",U1165+V1165)</f>
        <v>0</v>
      </c>
      <c r="X1165" s="74"/>
      <c r="Y1165" s="109">
        <f>IF(W1165="","",W1165-X1165)</f>
        <v>0</v>
      </c>
      <c r="Z1165" s="76"/>
      <c r="AA1165" s="28"/>
    </row>
    <row r="1166" spans="1:27" s="29" customFormat="1" ht="21" hidden="1" customHeight="1" x14ac:dyDescent="0.2">
      <c r="A1166" s="30"/>
      <c r="B1166" s="44" t="s">
        <v>43</v>
      </c>
      <c r="C1166" s="45"/>
      <c r="F1166" s="468" t="s">
        <v>45</v>
      </c>
      <c r="G1166" s="468"/>
      <c r="I1166" s="468" t="s">
        <v>46</v>
      </c>
      <c r="J1166" s="468"/>
      <c r="K1166" s="468"/>
      <c r="L1166" s="46"/>
      <c r="N1166" s="71"/>
      <c r="O1166" s="72" t="s">
        <v>48</v>
      </c>
      <c r="P1166" s="72"/>
      <c r="Q1166" s="72"/>
      <c r="R1166" s="72">
        <v>0</v>
      </c>
      <c r="S1166" s="63"/>
      <c r="T1166" s="72" t="s">
        <v>48</v>
      </c>
      <c r="U1166" s="109">
        <f>IF($J$1="February","",Y1165)</f>
        <v>0</v>
      </c>
      <c r="V1166" s="74"/>
      <c r="W1166" s="109">
        <f t="shared" ref="W1166:W1175" si="238">IF(U1166="","",U1166+V1166)</f>
        <v>0</v>
      </c>
      <c r="X1166" s="74"/>
      <c r="Y1166" s="109">
        <f t="shared" ref="Y1166:Y1175" si="239">IF(W1166="","",W1166-X1166)</f>
        <v>0</v>
      </c>
      <c r="Z1166" s="76"/>
    </row>
    <row r="1167" spans="1:27" s="29" customFormat="1" ht="21" hidden="1" customHeight="1" x14ac:dyDescent="0.2">
      <c r="A1167" s="30"/>
      <c r="H1167" s="47"/>
      <c r="L1167" s="34"/>
      <c r="N1167" s="71"/>
      <c r="O1167" s="72" t="s">
        <v>49</v>
      </c>
      <c r="P1167" s="72"/>
      <c r="Q1167" s="72"/>
      <c r="R1167" s="72" t="str">
        <f t="shared" ref="R1167:R1172" si="240">IF(Q1167="","",R1166-Q1167)</f>
        <v/>
      </c>
      <c r="S1167" s="63"/>
      <c r="T1167" s="72" t="s">
        <v>49</v>
      </c>
      <c r="U1167" s="109">
        <f>IF($J$1="March","",Y1166)</f>
        <v>0</v>
      </c>
      <c r="V1167" s="74"/>
      <c r="W1167" s="109">
        <f t="shared" si="238"/>
        <v>0</v>
      </c>
      <c r="X1167" s="74"/>
      <c r="Y1167" s="109">
        <f t="shared" si="239"/>
        <v>0</v>
      </c>
      <c r="Z1167" s="76"/>
    </row>
    <row r="1168" spans="1:27" s="29" customFormat="1" ht="21" hidden="1" customHeight="1" x14ac:dyDescent="0.2">
      <c r="A1168" s="30"/>
      <c r="B1168" s="472" t="s">
        <v>44</v>
      </c>
      <c r="C1168" s="473"/>
      <c r="F1168" s="48" t="s">
        <v>66</v>
      </c>
      <c r="G1168" s="43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7"/>
      <c r="I1168" s="168"/>
      <c r="J1168" s="50" t="s">
        <v>63</v>
      </c>
      <c r="K1168" s="51">
        <f>K1164/$K$2*I1168</f>
        <v>0</v>
      </c>
      <c r="L1168" s="52"/>
      <c r="N1168" s="71"/>
      <c r="O1168" s="72" t="s">
        <v>50</v>
      </c>
      <c r="P1168" s="72"/>
      <c r="Q1168" s="72"/>
      <c r="R1168" s="72" t="str">
        <f t="shared" si="240"/>
        <v/>
      </c>
      <c r="S1168" s="63"/>
      <c r="T1168" s="72" t="s">
        <v>50</v>
      </c>
      <c r="U1168" s="109">
        <f>IF($J$1="April","",Y1167)</f>
        <v>0</v>
      </c>
      <c r="V1168" s="74"/>
      <c r="W1168" s="109">
        <f t="shared" si="238"/>
        <v>0</v>
      </c>
      <c r="X1168" s="74"/>
      <c r="Y1168" s="109">
        <f t="shared" si="239"/>
        <v>0</v>
      </c>
      <c r="Z1168" s="76"/>
    </row>
    <row r="1169" spans="1:27" s="29" customFormat="1" ht="21" hidden="1" customHeight="1" x14ac:dyDescent="0.2">
      <c r="A1169" s="30"/>
      <c r="B1169" s="39"/>
      <c r="C1169" s="39"/>
      <c r="F1169" s="48" t="s">
        <v>22</v>
      </c>
      <c r="G1169" s="115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7"/>
      <c r="I1169" s="84"/>
      <c r="J1169" s="50" t="s">
        <v>64</v>
      </c>
      <c r="K1169" s="53">
        <f>K1164/$K$2/8*I1169</f>
        <v>0</v>
      </c>
      <c r="L1169" s="54"/>
      <c r="N1169" s="71"/>
      <c r="O1169" s="72" t="s">
        <v>51</v>
      </c>
      <c r="P1169" s="72"/>
      <c r="Q1169" s="72"/>
      <c r="R1169" s="72" t="str">
        <f t="shared" si="240"/>
        <v/>
      </c>
      <c r="S1169" s="63"/>
      <c r="T1169" s="72" t="s">
        <v>51</v>
      </c>
      <c r="U1169" s="109">
        <f>IF($J$1="May","",Y1168)</f>
        <v>0</v>
      </c>
      <c r="V1169" s="74"/>
      <c r="W1169" s="109">
        <f t="shared" si="238"/>
        <v>0</v>
      </c>
      <c r="X1169" s="74"/>
      <c r="Y1169" s="109">
        <f t="shared" si="239"/>
        <v>0</v>
      </c>
      <c r="Z1169" s="76"/>
    </row>
    <row r="1170" spans="1:27" s="29" customFormat="1" ht="21" hidden="1" customHeight="1" x14ac:dyDescent="0.2">
      <c r="A1170" s="30"/>
      <c r="B1170" s="48" t="s">
        <v>7</v>
      </c>
      <c r="C1170" s="39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F1170" s="48" t="s">
        <v>67</v>
      </c>
      <c r="G1170" s="115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7"/>
      <c r="I1170" s="456" t="s">
        <v>71</v>
      </c>
      <c r="J1170" s="457"/>
      <c r="K1170" s="53">
        <f>K1168+K1169</f>
        <v>0</v>
      </c>
      <c r="L1170" s="54"/>
      <c r="N1170" s="71"/>
      <c r="O1170" s="72" t="s">
        <v>52</v>
      </c>
      <c r="P1170" s="72"/>
      <c r="Q1170" s="72"/>
      <c r="R1170" s="72" t="str">
        <f t="shared" si="240"/>
        <v/>
      </c>
      <c r="S1170" s="63"/>
      <c r="T1170" s="72" t="s">
        <v>52</v>
      </c>
      <c r="U1170" s="109">
        <f>IF($J$1="June","",Y1169)</f>
        <v>0</v>
      </c>
      <c r="V1170" s="74"/>
      <c r="W1170" s="109">
        <f t="shared" si="238"/>
        <v>0</v>
      </c>
      <c r="X1170" s="74"/>
      <c r="Y1170" s="109">
        <f t="shared" si="239"/>
        <v>0</v>
      </c>
      <c r="Z1170" s="76"/>
    </row>
    <row r="1171" spans="1:27" s="29" customFormat="1" ht="21" hidden="1" customHeight="1" x14ac:dyDescent="0.2">
      <c r="A1171" s="30"/>
      <c r="B1171" s="48" t="s">
        <v>6</v>
      </c>
      <c r="C1171" s="39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F1171" s="48" t="s">
        <v>23</v>
      </c>
      <c r="G1171" s="115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7"/>
      <c r="I1171" s="456" t="s">
        <v>72</v>
      </c>
      <c r="J1171" s="457"/>
      <c r="K1171" s="43">
        <f>G1171</f>
        <v>0</v>
      </c>
      <c r="L1171" s="55"/>
      <c r="N1171" s="71"/>
      <c r="O1171" s="72" t="s">
        <v>53</v>
      </c>
      <c r="P1171" s="72"/>
      <c r="Q1171" s="72"/>
      <c r="R1171" s="72" t="str">
        <f t="shared" si="240"/>
        <v/>
      </c>
      <c r="S1171" s="63"/>
      <c r="T1171" s="72" t="s">
        <v>53</v>
      </c>
      <c r="U1171" s="109">
        <f>IF($J$1="July","",Y1170)</f>
        <v>0</v>
      </c>
      <c r="V1171" s="74"/>
      <c r="W1171" s="109">
        <f t="shared" si="238"/>
        <v>0</v>
      </c>
      <c r="X1171" s="74"/>
      <c r="Y1171" s="109">
        <f t="shared" si="239"/>
        <v>0</v>
      </c>
      <c r="Z1171" s="76"/>
    </row>
    <row r="1172" spans="1:27" s="29" customFormat="1" ht="21" hidden="1" customHeight="1" x14ac:dyDescent="0.2">
      <c r="A1172" s="30"/>
      <c r="B1172" s="56" t="s">
        <v>70</v>
      </c>
      <c r="C1172" s="39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>0</v>
      </c>
      <c r="F1172" s="48" t="s">
        <v>69</v>
      </c>
      <c r="G1172" s="115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I1172" s="458" t="s">
        <v>65</v>
      </c>
      <c r="J1172" s="459"/>
      <c r="K1172" s="57">
        <f>K1170-K1171</f>
        <v>0</v>
      </c>
      <c r="L1172" s="58"/>
      <c r="N1172" s="71"/>
      <c r="O1172" s="72" t="s">
        <v>58</v>
      </c>
      <c r="P1172" s="72"/>
      <c r="Q1172" s="72"/>
      <c r="R1172" s="72" t="str">
        <f t="shared" si="240"/>
        <v/>
      </c>
      <c r="S1172" s="63"/>
      <c r="T1172" s="72" t="s">
        <v>58</v>
      </c>
      <c r="U1172" s="109">
        <f>IF($J$1="August","",Y1171)</f>
        <v>0</v>
      </c>
      <c r="V1172" s="74"/>
      <c r="W1172" s="109">
        <f t="shared" si="238"/>
        <v>0</v>
      </c>
      <c r="X1172" s="74"/>
      <c r="Y1172" s="109">
        <f t="shared" si="239"/>
        <v>0</v>
      </c>
      <c r="Z1172" s="76"/>
    </row>
    <row r="1173" spans="1:27" s="29" customFormat="1" ht="21" hidden="1" customHeight="1" x14ac:dyDescent="0.2">
      <c r="A1173" s="30"/>
      <c r="L1173" s="46"/>
      <c r="N1173" s="71"/>
      <c r="O1173" s="72" t="s">
        <v>54</v>
      </c>
      <c r="P1173" s="72"/>
      <c r="Q1173" s="72"/>
      <c r="R1173" s="72"/>
      <c r="S1173" s="63"/>
      <c r="T1173" s="72" t="s">
        <v>54</v>
      </c>
      <c r="U1173" s="109">
        <f>IF($J$1="September","",Y1172)</f>
        <v>0</v>
      </c>
      <c r="V1173" s="74"/>
      <c r="W1173" s="109">
        <f t="shared" si="238"/>
        <v>0</v>
      </c>
      <c r="X1173" s="74"/>
      <c r="Y1173" s="109">
        <f t="shared" si="239"/>
        <v>0</v>
      </c>
      <c r="Z1173" s="76"/>
    </row>
    <row r="1174" spans="1:27" s="29" customFormat="1" ht="21" hidden="1" customHeight="1" x14ac:dyDescent="0.2">
      <c r="A1174" s="30"/>
      <c r="B1174" s="455" t="s">
        <v>94</v>
      </c>
      <c r="C1174" s="455"/>
      <c r="D1174" s="455"/>
      <c r="E1174" s="455"/>
      <c r="F1174" s="455"/>
      <c r="G1174" s="455"/>
      <c r="H1174" s="455"/>
      <c r="I1174" s="455"/>
      <c r="J1174" s="455"/>
      <c r="K1174" s="455"/>
      <c r="L1174" s="46"/>
      <c r="N1174" s="71"/>
      <c r="O1174" s="72" t="s">
        <v>59</v>
      </c>
      <c r="P1174" s="72"/>
      <c r="Q1174" s="72"/>
      <c r="R1174" s="72"/>
      <c r="S1174" s="63"/>
      <c r="T1174" s="72" t="s">
        <v>59</v>
      </c>
      <c r="U1174" s="109" t="str">
        <f>IF($J$1="October","",Y1173)</f>
        <v/>
      </c>
      <c r="V1174" s="74"/>
      <c r="W1174" s="109" t="str">
        <f t="shared" si="238"/>
        <v/>
      </c>
      <c r="X1174" s="74"/>
      <c r="Y1174" s="109" t="str">
        <f t="shared" si="239"/>
        <v/>
      </c>
      <c r="Z1174" s="76"/>
    </row>
    <row r="1175" spans="1:27" s="29" customFormat="1" ht="21" hidden="1" customHeight="1" x14ac:dyDescent="0.2">
      <c r="A1175" s="30"/>
      <c r="B1175" s="455"/>
      <c r="C1175" s="455"/>
      <c r="D1175" s="455"/>
      <c r="E1175" s="455"/>
      <c r="F1175" s="455"/>
      <c r="G1175" s="455"/>
      <c r="H1175" s="455"/>
      <c r="I1175" s="455"/>
      <c r="J1175" s="455"/>
      <c r="K1175" s="455"/>
      <c r="L1175" s="46"/>
      <c r="N1175" s="71"/>
      <c r="O1175" s="72" t="s">
        <v>60</v>
      </c>
      <c r="P1175" s="72"/>
      <c r="Q1175" s="72"/>
      <c r="R1175" s="72" t="str">
        <f t="shared" ref="R1175" si="241">IF(Q1175="","",R1174-Q1175)</f>
        <v/>
      </c>
      <c r="S1175" s="63"/>
      <c r="T1175" s="72" t="s">
        <v>60</v>
      </c>
      <c r="U1175" s="109" t="str">
        <f>IF($J$1="November","",Y1174)</f>
        <v/>
      </c>
      <c r="V1175" s="74"/>
      <c r="W1175" s="109" t="str">
        <f t="shared" si="238"/>
        <v/>
      </c>
      <c r="X1175" s="74"/>
      <c r="Y1175" s="109" t="str">
        <f t="shared" si="239"/>
        <v/>
      </c>
      <c r="Z1175" s="76"/>
    </row>
    <row r="1176" spans="1:27" s="29" customFormat="1" ht="21" hidden="1" customHeight="1" thickBot="1" x14ac:dyDescent="0.25">
      <c r="A1176" s="59"/>
      <c r="B1176" s="60"/>
      <c r="C1176" s="60"/>
      <c r="D1176" s="60"/>
      <c r="E1176" s="60"/>
      <c r="F1176" s="60"/>
      <c r="G1176" s="60"/>
      <c r="H1176" s="60"/>
      <c r="I1176" s="60"/>
      <c r="J1176" s="60"/>
      <c r="K1176" s="60"/>
      <c r="L1176" s="61"/>
      <c r="N1176" s="77"/>
      <c r="O1176" s="78"/>
      <c r="P1176" s="78"/>
      <c r="Q1176" s="78"/>
      <c r="R1176" s="78"/>
      <c r="S1176" s="78"/>
      <c r="T1176" s="78"/>
      <c r="U1176" s="78"/>
      <c r="V1176" s="78"/>
      <c r="W1176" s="78"/>
      <c r="X1176" s="78"/>
      <c r="Y1176" s="78"/>
      <c r="Z1176" s="79"/>
    </row>
    <row r="1177" spans="1:27" s="29" customFormat="1" ht="21" hidden="1" customHeight="1" thickBot="1" x14ac:dyDescent="0.25">
      <c r="N1177" s="63"/>
      <c r="O1177" s="63"/>
      <c r="P1177" s="63"/>
      <c r="Q1177" s="63"/>
      <c r="R1177" s="63"/>
      <c r="S1177" s="63"/>
      <c r="T1177" s="63"/>
      <c r="U1177" s="63"/>
      <c r="V1177" s="63"/>
      <c r="W1177" s="63"/>
      <c r="X1177" s="63"/>
      <c r="Y1177" s="63"/>
      <c r="Z1177" s="63"/>
    </row>
    <row r="1178" spans="1:27" s="29" customFormat="1" ht="21" customHeight="1" x14ac:dyDescent="0.2">
      <c r="A1178" s="460" t="s">
        <v>42</v>
      </c>
      <c r="B1178" s="461"/>
      <c r="C1178" s="461"/>
      <c r="D1178" s="461"/>
      <c r="E1178" s="461"/>
      <c r="F1178" s="461"/>
      <c r="G1178" s="461"/>
      <c r="H1178" s="461"/>
      <c r="I1178" s="461"/>
      <c r="J1178" s="461"/>
      <c r="K1178" s="461"/>
      <c r="L1178" s="462"/>
      <c r="M1178" s="28"/>
      <c r="N1178" s="64"/>
      <c r="O1178" s="469" t="s">
        <v>44</v>
      </c>
      <c r="P1178" s="470"/>
      <c r="Q1178" s="470"/>
      <c r="R1178" s="471"/>
      <c r="S1178" s="65"/>
      <c r="T1178" s="469" t="s">
        <v>45</v>
      </c>
      <c r="U1178" s="470"/>
      <c r="V1178" s="470"/>
      <c r="W1178" s="470"/>
      <c r="X1178" s="470"/>
      <c r="Y1178" s="471"/>
      <c r="Z1178" s="66"/>
      <c r="AA1178" s="28"/>
    </row>
    <row r="1179" spans="1:27" s="29" customFormat="1" ht="21" customHeight="1" x14ac:dyDescent="0.2">
      <c r="A1179" s="30"/>
      <c r="C1179" s="466" t="s">
        <v>92</v>
      </c>
      <c r="D1179" s="466"/>
      <c r="E1179" s="466"/>
      <c r="F1179" s="466"/>
      <c r="G1179" s="31" t="str">
        <f>$J$1</f>
        <v>October</v>
      </c>
      <c r="H1179" s="467">
        <f>$K$1</f>
        <v>2022</v>
      </c>
      <c r="I1179" s="467"/>
      <c r="K1179" s="32"/>
      <c r="L1179" s="33"/>
      <c r="M1179" s="32"/>
      <c r="N1179" s="67"/>
      <c r="O1179" s="68" t="s">
        <v>55</v>
      </c>
      <c r="P1179" s="68" t="s">
        <v>7</v>
      </c>
      <c r="Q1179" s="68" t="s">
        <v>6</v>
      </c>
      <c r="R1179" s="68" t="s">
        <v>56</v>
      </c>
      <c r="S1179" s="69"/>
      <c r="T1179" s="68" t="s">
        <v>55</v>
      </c>
      <c r="U1179" s="68" t="s">
        <v>57</v>
      </c>
      <c r="V1179" s="68" t="s">
        <v>22</v>
      </c>
      <c r="W1179" s="68" t="s">
        <v>21</v>
      </c>
      <c r="X1179" s="68" t="s">
        <v>23</v>
      </c>
      <c r="Y1179" s="68" t="s">
        <v>61</v>
      </c>
      <c r="Z1179" s="70"/>
      <c r="AA1179" s="32"/>
    </row>
    <row r="1180" spans="1:27" s="29" customFormat="1" ht="21" customHeight="1" x14ac:dyDescent="0.2">
      <c r="A1180" s="30"/>
      <c r="D1180" s="35"/>
      <c r="E1180" s="35"/>
      <c r="F1180" s="35"/>
      <c r="G1180" s="35"/>
      <c r="H1180" s="35"/>
      <c r="J1180" s="36" t="s">
        <v>1</v>
      </c>
      <c r="K1180" s="37">
        <v>18000</v>
      </c>
      <c r="L1180" s="38"/>
      <c r="N1180" s="71"/>
      <c r="O1180" s="72" t="s">
        <v>47</v>
      </c>
      <c r="P1180" s="72"/>
      <c r="Q1180" s="72"/>
      <c r="R1180" s="72">
        <f>15-Q1180</f>
        <v>15</v>
      </c>
      <c r="S1180" s="73"/>
      <c r="T1180" s="72" t="s">
        <v>47</v>
      </c>
      <c r="U1180" s="74"/>
      <c r="V1180" s="74"/>
      <c r="W1180" s="74">
        <f>V1180+U1180</f>
        <v>0</v>
      </c>
      <c r="X1180" s="74"/>
      <c r="Y1180" s="74">
        <f>W1180-X1180</f>
        <v>0</v>
      </c>
      <c r="Z1180" s="70"/>
    </row>
    <row r="1181" spans="1:27" s="29" customFormat="1" ht="21" customHeight="1" x14ac:dyDescent="0.2">
      <c r="A1181" s="30"/>
      <c r="B1181" s="29" t="s">
        <v>0</v>
      </c>
      <c r="C1181" s="40" t="s">
        <v>239</v>
      </c>
      <c r="H1181" s="41"/>
      <c r="I1181" s="35"/>
      <c r="L1181" s="42"/>
      <c r="M1181" s="28"/>
      <c r="N1181" s="75"/>
      <c r="O1181" s="72" t="s">
        <v>73</v>
      </c>
      <c r="P1181" s="72"/>
      <c r="Q1181" s="72"/>
      <c r="R1181" s="72" t="str">
        <f t="shared" ref="R1181:R1188" si="242">IF(Q1181="","",R1180-Q1181)</f>
        <v/>
      </c>
      <c r="S1181" s="63"/>
      <c r="T1181" s="72" t="s">
        <v>73</v>
      </c>
      <c r="U1181" s="109">
        <f>IF($J$1="January","",Y1180)</f>
        <v>0</v>
      </c>
      <c r="V1181" s="74"/>
      <c r="W1181" s="109">
        <f>IF(U1181="","",U1181+V1181)</f>
        <v>0</v>
      </c>
      <c r="X1181" s="74"/>
      <c r="Y1181" s="109">
        <f>IF(W1181="","",W1181-X1181)</f>
        <v>0</v>
      </c>
      <c r="Z1181" s="76"/>
      <c r="AA1181" s="28"/>
    </row>
    <row r="1182" spans="1:27" s="29" customFormat="1" ht="21" customHeight="1" x14ac:dyDescent="0.2">
      <c r="A1182" s="30"/>
      <c r="B1182" s="44" t="s">
        <v>43</v>
      </c>
      <c r="C1182" s="45"/>
      <c r="F1182" s="468" t="s">
        <v>45</v>
      </c>
      <c r="G1182" s="468"/>
      <c r="I1182" s="468" t="s">
        <v>46</v>
      </c>
      <c r="J1182" s="468"/>
      <c r="K1182" s="468"/>
      <c r="L1182" s="46"/>
      <c r="N1182" s="71"/>
      <c r="O1182" s="72" t="s">
        <v>48</v>
      </c>
      <c r="P1182" s="72">
        <v>31</v>
      </c>
      <c r="Q1182" s="72">
        <v>0</v>
      </c>
      <c r="R1182" s="72">
        <v>0</v>
      </c>
      <c r="S1182" s="63"/>
      <c r="T1182" s="72" t="s">
        <v>48</v>
      </c>
      <c r="U1182" s="109">
        <f>IF($J$1="February","",Y1181)</f>
        <v>0</v>
      </c>
      <c r="V1182" s="74">
        <v>2000</v>
      </c>
      <c r="W1182" s="109">
        <f t="shared" ref="W1182:W1191" si="243">IF(U1182="","",U1182+V1182)</f>
        <v>2000</v>
      </c>
      <c r="X1182" s="74">
        <v>2000</v>
      </c>
      <c r="Y1182" s="109">
        <f t="shared" ref="Y1182:Y1191" si="244">IF(W1182="","",W1182-X1182)</f>
        <v>0</v>
      </c>
      <c r="Z1182" s="76"/>
    </row>
    <row r="1183" spans="1:27" s="29" customFormat="1" ht="21" customHeight="1" x14ac:dyDescent="0.2">
      <c r="A1183" s="30"/>
      <c r="H1183" s="47"/>
      <c r="L1183" s="34"/>
      <c r="N1183" s="71"/>
      <c r="O1183" s="72" t="s">
        <v>49</v>
      </c>
      <c r="P1183" s="72">
        <v>30</v>
      </c>
      <c r="Q1183" s="72">
        <v>0</v>
      </c>
      <c r="R1183" s="72">
        <f t="shared" si="242"/>
        <v>0</v>
      </c>
      <c r="S1183" s="63"/>
      <c r="T1183" s="72" t="s">
        <v>49</v>
      </c>
      <c r="U1183" s="109">
        <f>IF($J$1="March","",Y1182)</f>
        <v>0</v>
      </c>
      <c r="V1183" s="74">
        <f>1000+1000</f>
        <v>2000</v>
      </c>
      <c r="W1183" s="109">
        <f t="shared" si="243"/>
        <v>2000</v>
      </c>
      <c r="X1183" s="74">
        <v>2000</v>
      </c>
      <c r="Y1183" s="109">
        <f t="shared" si="244"/>
        <v>0</v>
      </c>
      <c r="Z1183" s="76"/>
    </row>
    <row r="1184" spans="1:27" s="29" customFormat="1" ht="21" customHeight="1" x14ac:dyDescent="0.2">
      <c r="A1184" s="30"/>
      <c r="B1184" s="472" t="s">
        <v>44</v>
      </c>
      <c r="C1184" s="473"/>
      <c r="F1184" s="48" t="s">
        <v>66</v>
      </c>
      <c r="G1184" s="43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4000</v>
      </c>
      <c r="H1184" s="47"/>
      <c r="I1184" s="49">
        <f>IF(C1188&gt;0,$K$2,C1186)</f>
        <v>30</v>
      </c>
      <c r="J1184" s="50" t="s">
        <v>63</v>
      </c>
      <c r="K1184" s="51">
        <f>K1180/$K$2*I1184</f>
        <v>17419.354838709678</v>
      </c>
      <c r="L1184" s="52"/>
      <c r="N1184" s="71"/>
      <c r="O1184" s="72" t="s">
        <v>50</v>
      </c>
      <c r="P1184" s="72">
        <v>31</v>
      </c>
      <c r="Q1184" s="72">
        <v>0</v>
      </c>
      <c r="R1184" s="72">
        <f t="shared" si="242"/>
        <v>0</v>
      </c>
      <c r="S1184" s="63"/>
      <c r="T1184" s="72" t="s">
        <v>50</v>
      </c>
      <c r="U1184" s="109">
        <f>IF($J$1="April","",Y1183)</f>
        <v>0</v>
      </c>
      <c r="V1184" s="74">
        <f>50+1000+1000</f>
        <v>2050</v>
      </c>
      <c r="W1184" s="109">
        <f t="shared" si="243"/>
        <v>2050</v>
      </c>
      <c r="X1184" s="74">
        <v>2050</v>
      </c>
      <c r="Y1184" s="109">
        <f t="shared" si="244"/>
        <v>0</v>
      </c>
      <c r="Z1184" s="76"/>
    </row>
    <row r="1185" spans="1:26" s="29" customFormat="1" ht="21" customHeight="1" x14ac:dyDescent="0.2">
      <c r="A1185" s="30"/>
      <c r="B1185" s="39"/>
      <c r="C1185" s="39"/>
      <c r="F1185" s="48" t="s">
        <v>22</v>
      </c>
      <c r="G1185" s="97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7000</v>
      </c>
      <c r="H1185" s="47"/>
      <c r="I1185" s="84">
        <v>15</v>
      </c>
      <c r="J1185" s="50" t="s">
        <v>64</v>
      </c>
      <c r="K1185" s="53">
        <f>K1180/$K$2/8*I1185</f>
        <v>1088.7096774193549</v>
      </c>
      <c r="L1185" s="54"/>
      <c r="N1185" s="71"/>
      <c r="O1185" s="72" t="s">
        <v>51</v>
      </c>
      <c r="P1185" s="72">
        <v>29</v>
      </c>
      <c r="Q1185" s="72">
        <v>1</v>
      </c>
      <c r="R1185" s="72">
        <v>0</v>
      </c>
      <c r="S1185" s="63"/>
      <c r="T1185" s="72" t="s">
        <v>51</v>
      </c>
      <c r="U1185" s="109">
        <f>Y1184</f>
        <v>0</v>
      </c>
      <c r="V1185" s="74">
        <v>2000</v>
      </c>
      <c r="W1185" s="109">
        <f t="shared" si="243"/>
        <v>2000</v>
      </c>
      <c r="X1185" s="74">
        <v>1000</v>
      </c>
      <c r="Y1185" s="109">
        <f t="shared" si="244"/>
        <v>1000</v>
      </c>
      <c r="Z1185" s="76"/>
    </row>
    <row r="1186" spans="1:26" s="29" customFormat="1" ht="21" customHeight="1" x14ac:dyDescent="0.2">
      <c r="A1186" s="30"/>
      <c r="B1186" s="48" t="s">
        <v>7</v>
      </c>
      <c r="C1186" s="39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30</v>
      </c>
      <c r="F1186" s="48" t="s">
        <v>67</v>
      </c>
      <c r="G1186" s="97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>11000</v>
      </c>
      <c r="H1186" s="47"/>
      <c r="I1186" s="456" t="s">
        <v>71</v>
      </c>
      <c r="J1186" s="457"/>
      <c r="K1186" s="53">
        <f>K1184+K1185</f>
        <v>18508.064516129034</v>
      </c>
      <c r="L1186" s="54"/>
      <c r="N1186" s="71"/>
      <c r="O1186" s="72" t="s">
        <v>52</v>
      </c>
      <c r="P1186" s="72">
        <v>30</v>
      </c>
      <c r="Q1186" s="72">
        <v>1</v>
      </c>
      <c r="R1186" s="72">
        <v>0</v>
      </c>
      <c r="S1186" s="63"/>
      <c r="T1186" s="72" t="s">
        <v>52</v>
      </c>
      <c r="U1186" s="109">
        <f>Y1185</f>
        <v>1000</v>
      </c>
      <c r="V1186" s="74">
        <v>1000</v>
      </c>
      <c r="W1186" s="109">
        <f t="shared" si="243"/>
        <v>2000</v>
      </c>
      <c r="X1186" s="74">
        <v>1000</v>
      </c>
      <c r="Y1186" s="109">
        <f t="shared" si="244"/>
        <v>1000</v>
      </c>
      <c r="Z1186" s="76"/>
    </row>
    <row r="1187" spans="1:26" s="29" customFormat="1" ht="21" customHeight="1" x14ac:dyDescent="0.2">
      <c r="A1187" s="30"/>
      <c r="B1187" s="48" t="s">
        <v>6</v>
      </c>
      <c r="C1187" s="39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1</v>
      </c>
      <c r="F1187" s="48" t="s">
        <v>23</v>
      </c>
      <c r="G1187" s="97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5000</v>
      </c>
      <c r="H1187" s="47"/>
      <c r="I1187" s="456" t="s">
        <v>72</v>
      </c>
      <c r="J1187" s="457"/>
      <c r="K1187" s="43">
        <f>G1187</f>
        <v>5000</v>
      </c>
      <c r="L1187" s="55"/>
      <c r="N1187" s="71"/>
      <c r="O1187" s="72" t="s">
        <v>53</v>
      </c>
      <c r="P1187" s="72">
        <v>29</v>
      </c>
      <c r="Q1187" s="72">
        <v>2</v>
      </c>
      <c r="R1187" s="72">
        <v>0</v>
      </c>
      <c r="S1187" s="63"/>
      <c r="T1187" s="72" t="s">
        <v>53</v>
      </c>
      <c r="U1187" s="109">
        <f>Y1186</f>
        <v>1000</v>
      </c>
      <c r="V1187" s="74">
        <f>2000+2000+1000</f>
        <v>5000</v>
      </c>
      <c r="W1187" s="109">
        <f t="shared" si="243"/>
        <v>6000</v>
      </c>
      <c r="X1187" s="74">
        <v>1000</v>
      </c>
      <c r="Y1187" s="109">
        <f t="shared" si="244"/>
        <v>5000</v>
      </c>
      <c r="Z1187" s="76"/>
    </row>
    <row r="1188" spans="1:26" s="29" customFormat="1" ht="21" customHeight="1" x14ac:dyDescent="0.2">
      <c r="A1188" s="30"/>
      <c r="B1188" s="56" t="s">
        <v>70</v>
      </c>
      <c r="C1188" s="39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>0</v>
      </c>
      <c r="F1188" s="48" t="s">
        <v>69</v>
      </c>
      <c r="G1188" s="43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>6000</v>
      </c>
      <c r="I1188" s="458" t="s">
        <v>65</v>
      </c>
      <c r="J1188" s="459"/>
      <c r="K1188" s="57">
        <f>K1186-K1187</f>
        <v>13508.064516129034</v>
      </c>
      <c r="L1188" s="58"/>
      <c r="N1188" s="71"/>
      <c r="O1188" s="72" t="s">
        <v>58</v>
      </c>
      <c r="P1188" s="72">
        <v>30</v>
      </c>
      <c r="Q1188" s="72">
        <v>0</v>
      </c>
      <c r="R1188" s="72">
        <f t="shared" si="242"/>
        <v>0</v>
      </c>
      <c r="S1188" s="63"/>
      <c r="T1188" s="72" t="s">
        <v>58</v>
      </c>
      <c r="U1188" s="109">
        <f>Y1187</f>
        <v>5000</v>
      </c>
      <c r="V1188" s="74">
        <v>1000</v>
      </c>
      <c r="W1188" s="109">
        <f t="shared" si="243"/>
        <v>6000</v>
      </c>
      <c r="X1188" s="74">
        <v>2000</v>
      </c>
      <c r="Y1188" s="109">
        <f t="shared" si="244"/>
        <v>4000</v>
      </c>
      <c r="Z1188" s="76"/>
    </row>
    <row r="1189" spans="1:26" s="29" customFormat="1" ht="21" customHeight="1" x14ac:dyDescent="0.2">
      <c r="A1189" s="30"/>
      <c r="K1189" s="113"/>
      <c r="L1189" s="46"/>
      <c r="N1189" s="71"/>
      <c r="O1189" s="72" t="s">
        <v>54</v>
      </c>
      <c r="P1189" s="72">
        <v>30</v>
      </c>
      <c r="Q1189" s="72">
        <v>1</v>
      </c>
      <c r="R1189" s="72">
        <v>0</v>
      </c>
      <c r="S1189" s="63"/>
      <c r="T1189" s="72" t="s">
        <v>54</v>
      </c>
      <c r="U1189" s="109">
        <f>Y1188</f>
        <v>4000</v>
      </c>
      <c r="V1189" s="74">
        <f>2000+2000+1000+2000</f>
        <v>7000</v>
      </c>
      <c r="W1189" s="109">
        <f t="shared" si="243"/>
        <v>11000</v>
      </c>
      <c r="X1189" s="74">
        <v>5000</v>
      </c>
      <c r="Y1189" s="109">
        <f t="shared" si="244"/>
        <v>6000</v>
      </c>
      <c r="Z1189" s="76"/>
    </row>
    <row r="1190" spans="1:26" s="29" customFormat="1" ht="21" customHeight="1" x14ac:dyDescent="0.2">
      <c r="A1190" s="30"/>
      <c r="B1190" s="455" t="s">
        <v>94</v>
      </c>
      <c r="C1190" s="455"/>
      <c r="D1190" s="455"/>
      <c r="E1190" s="455"/>
      <c r="F1190" s="455"/>
      <c r="G1190" s="455"/>
      <c r="H1190" s="455"/>
      <c r="I1190" s="455"/>
      <c r="J1190" s="455"/>
      <c r="K1190" s="455"/>
      <c r="L1190" s="46"/>
      <c r="N1190" s="71"/>
      <c r="O1190" s="72" t="s">
        <v>59</v>
      </c>
      <c r="P1190" s="72"/>
      <c r="Q1190" s="72"/>
      <c r="R1190" s="72"/>
      <c r="S1190" s="63"/>
      <c r="T1190" s="72" t="s">
        <v>59</v>
      </c>
      <c r="U1190" s="109"/>
      <c r="V1190" s="74"/>
      <c r="W1190" s="109" t="str">
        <f t="shared" si="243"/>
        <v/>
      </c>
      <c r="X1190" s="74"/>
      <c r="Y1190" s="109" t="str">
        <f t="shared" si="244"/>
        <v/>
      </c>
      <c r="Z1190" s="76"/>
    </row>
    <row r="1191" spans="1:26" s="29" customFormat="1" ht="21" customHeight="1" x14ac:dyDescent="0.2">
      <c r="A1191" s="30"/>
      <c r="B1191" s="455"/>
      <c r="C1191" s="455"/>
      <c r="D1191" s="455"/>
      <c r="E1191" s="455"/>
      <c r="F1191" s="455"/>
      <c r="G1191" s="455"/>
      <c r="H1191" s="455"/>
      <c r="I1191" s="455"/>
      <c r="J1191" s="455"/>
      <c r="K1191" s="455"/>
      <c r="L1191" s="46"/>
      <c r="N1191" s="71"/>
      <c r="O1191" s="72" t="s">
        <v>60</v>
      </c>
      <c r="P1191" s="72"/>
      <c r="Q1191" s="72"/>
      <c r="R1191" s="72" t="str">
        <f t="shared" ref="R1191" si="245">IF(Q1191="","",R1190-Q1191)</f>
        <v/>
      </c>
      <c r="S1191" s="63"/>
      <c r="T1191" s="72" t="s">
        <v>60</v>
      </c>
      <c r="U1191" s="109" t="str">
        <f>IF($J$1="November","",Y1190)</f>
        <v/>
      </c>
      <c r="V1191" s="74"/>
      <c r="W1191" s="109" t="str">
        <f t="shared" si="243"/>
        <v/>
      </c>
      <c r="X1191" s="74"/>
      <c r="Y1191" s="109" t="str">
        <f t="shared" si="244"/>
        <v/>
      </c>
      <c r="Z1191" s="76"/>
    </row>
    <row r="1192" spans="1:26" s="29" customFormat="1" ht="21" customHeight="1" thickBot="1" x14ac:dyDescent="0.25">
      <c r="A1192" s="59"/>
      <c r="B1192" s="60"/>
      <c r="C1192" s="60"/>
      <c r="D1192" s="60"/>
      <c r="E1192" s="60"/>
      <c r="F1192" s="60"/>
      <c r="G1192" s="60"/>
      <c r="H1192" s="60"/>
      <c r="I1192" s="60"/>
      <c r="J1192" s="60"/>
      <c r="K1192" s="60"/>
      <c r="L1192" s="61"/>
      <c r="N1192" s="77"/>
      <c r="O1192" s="78"/>
      <c r="P1192" s="78"/>
      <c r="Q1192" s="78"/>
      <c r="R1192" s="78"/>
      <c r="S1192" s="78"/>
      <c r="T1192" s="78"/>
      <c r="U1192" s="78"/>
      <c r="V1192" s="78"/>
      <c r="W1192" s="78"/>
      <c r="X1192" s="78"/>
      <c r="Y1192" s="78"/>
      <c r="Z1192" s="79"/>
    </row>
    <row r="1193" spans="1:26" ht="15.75" thickBot="1" x14ac:dyDescent="0.3"/>
    <row r="1194" spans="1:26" s="29" customFormat="1" ht="21" customHeight="1" x14ac:dyDescent="0.2">
      <c r="A1194" s="460" t="s">
        <v>42</v>
      </c>
      <c r="B1194" s="461"/>
      <c r="C1194" s="461"/>
      <c r="D1194" s="461"/>
      <c r="E1194" s="461"/>
      <c r="F1194" s="461"/>
      <c r="G1194" s="461"/>
      <c r="H1194" s="461"/>
      <c r="I1194" s="461"/>
      <c r="J1194" s="461"/>
      <c r="K1194" s="461"/>
      <c r="L1194" s="462"/>
      <c r="M1194" s="28"/>
      <c r="N1194" s="64"/>
      <c r="O1194" s="469" t="s">
        <v>44</v>
      </c>
      <c r="P1194" s="470"/>
      <c r="Q1194" s="470"/>
      <c r="R1194" s="471"/>
      <c r="S1194" s="65"/>
      <c r="T1194" s="469" t="s">
        <v>45</v>
      </c>
      <c r="U1194" s="470"/>
      <c r="V1194" s="470"/>
      <c r="W1194" s="470"/>
      <c r="X1194" s="470"/>
      <c r="Y1194" s="471"/>
      <c r="Z1194" s="63"/>
    </row>
    <row r="1195" spans="1:26" s="29" customFormat="1" ht="21" customHeight="1" x14ac:dyDescent="0.2">
      <c r="A1195" s="30"/>
      <c r="C1195" s="466" t="s">
        <v>92</v>
      </c>
      <c r="D1195" s="466"/>
      <c r="E1195" s="466"/>
      <c r="F1195" s="466"/>
      <c r="G1195" s="31" t="str">
        <f>$J$1</f>
        <v>October</v>
      </c>
      <c r="H1195" s="467">
        <f>$K$1</f>
        <v>2022</v>
      </c>
      <c r="I1195" s="467"/>
      <c r="K1195" s="32"/>
      <c r="L1195" s="33"/>
      <c r="M1195" s="32"/>
      <c r="N1195" s="67"/>
      <c r="O1195" s="68" t="s">
        <v>55</v>
      </c>
      <c r="P1195" s="68" t="s">
        <v>7</v>
      </c>
      <c r="Q1195" s="68" t="s">
        <v>6</v>
      </c>
      <c r="R1195" s="68" t="s">
        <v>56</v>
      </c>
      <c r="S1195" s="69"/>
      <c r="T1195" s="68" t="s">
        <v>55</v>
      </c>
      <c r="U1195" s="68" t="s">
        <v>57</v>
      </c>
      <c r="V1195" s="68" t="s">
        <v>22</v>
      </c>
      <c r="W1195" s="68" t="s">
        <v>21</v>
      </c>
      <c r="X1195" s="68" t="s">
        <v>23</v>
      </c>
      <c r="Y1195" s="68" t="s">
        <v>61</v>
      </c>
      <c r="Z1195" s="63"/>
    </row>
    <row r="1196" spans="1:26" s="29" customFormat="1" ht="21" customHeight="1" x14ac:dyDescent="0.2">
      <c r="A1196" s="30"/>
      <c r="D1196" s="35"/>
      <c r="E1196" s="35"/>
      <c r="F1196" s="35"/>
      <c r="G1196" s="35"/>
      <c r="H1196" s="35"/>
      <c r="J1196" s="36" t="s">
        <v>1</v>
      </c>
      <c r="K1196" s="37">
        <v>65000</v>
      </c>
      <c r="L1196" s="38"/>
      <c r="N1196" s="71"/>
      <c r="O1196" s="72" t="s">
        <v>47</v>
      </c>
      <c r="P1196" s="72"/>
      <c r="Q1196" s="72"/>
      <c r="R1196" s="72">
        <f>15-Q1196</f>
        <v>15</v>
      </c>
      <c r="S1196" s="73"/>
      <c r="T1196" s="72" t="s">
        <v>47</v>
      </c>
      <c r="U1196" s="74"/>
      <c r="V1196" s="74"/>
      <c r="W1196" s="74">
        <f>V1196+U1196</f>
        <v>0</v>
      </c>
      <c r="X1196" s="74"/>
      <c r="Y1196" s="74">
        <f>W1196-X1196</f>
        <v>0</v>
      </c>
      <c r="Z1196" s="63"/>
    </row>
    <row r="1197" spans="1:26" s="29" customFormat="1" ht="21" customHeight="1" x14ac:dyDescent="0.2">
      <c r="A1197" s="30"/>
      <c r="B1197" s="29" t="s">
        <v>0</v>
      </c>
      <c r="C1197" s="40" t="s">
        <v>254</v>
      </c>
      <c r="H1197" s="41"/>
      <c r="I1197" s="35"/>
      <c r="L1197" s="42"/>
      <c r="M1197" s="28"/>
      <c r="N1197" s="75"/>
      <c r="O1197" s="72" t="s">
        <v>73</v>
      </c>
      <c r="P1197" s="72"/>
      <c r="Q1197" s="72"/>
      <c r="R1197" s="72" t="str">
        <f>IF(Q1197="","",R1196-Q1197)</f>
        <v/>
      </c>
      <c r="S1197" s="63"/>
      <c r="T1197" s="72" t="s">
        <v>73</v>
      </c>
      <c r="U1197" s="109">
        <f>IF($J$1="January","",Y1196)</f>
        <v>0</v>
      </c>
      <c r="V1197" s="74"/>
      <c r="W1197" s="109">
        <f>IF(U1197="","",U1197+V1197)</f>
        <v>0</v>
      </c>
      <c r="X1197" s="74"/>
      <c r="Y1197" s="109">
        <f>IF(W1197="","",W1197-X1197)</f>
        <v>0</v>
      </c>
      <c r="Z1197" s="63"/>
    </row>
    <row r="1198" spans="1:26" s="29" customFormat="1" ht="21" customHeight="1" x14ac:dyDescent="0.2">
      <c r="A1198" s="30"/>
      <c r="B1198" s="44" t="s">
        <v>43</v>
      </c>
      <c r="C1198" s="62"/>
      <c r="F1198" s="468" t="s">
        <v>45</v>
      </c>
      <c r="G1198" s="468"/>
      <c r="I1198" s="468" t="s">
        <v>46</v>
      </c>
      <c r="J1198" s="468"/>
      <c r="K1198" s="468"/>
      <c r="L1198" s="46"/>
      <c r="N1198" s="71"/>
      <c r="O1198" s="72" t="s">
        <v>48</v>
      </c>
      <c r="P1198" s="72"/>
      <c r="Q1198" s="72"/>
      <c r="R1198" s="72" t="str">
        <f>IF(Q1198="","",R1197-Q1198)</f>
        <v/>
      </c>
      <c r="S1198" s="63"/>
      <c r="T1198" s="72" t="s">
        <v>48</v>
      </c>
      <c r="U1198" s="109">
        <f>IF($J$1="February","",Y1197)</f>
        <v>0</v>
      </c>
      <c r="V1198" s="74"/>
      <c r="W1198" s="109">
        <f t="shared" ref="W1198:W1207" si="246">IF(U1198="","",U1198+V1198)</f>
        <v>0</v>
      </c>
      <c r="X1198" s="74"/>
      <c r="Y1198" s="109">
        <f t="shared" ref="Y1198:Y1207" si="247">IF(W1198="","",W1198-X1198)</f>
        <v>0</v>
      </c>
      <c r="Z1198" s="63"/>
    </row>
    <row r="1199" spans="1:26" s="29" customFormat="1" ht="21" customHeight="1" x14ac:dyDescent="0.2">
      <c r="A1199" s="30"/>
      <c r="H1199" s="47"/>
      <c r="L1199" s="34"/>
      <c r="N1199" s="71"/>
      <c r="O1199" s="72" t="s">
        <v>49</v>
      </c>
      <c r="P1199" s="72"/>
      <c r="Q1199" s="72"/>
      <c r="R1199" s="72">
        <v>0</v>
      </c>
      <c r="S1199" s="63"/>
      <c r="T1199" s="72" t="s">
        <v>49</v>
      </c>
      <c r="U1199" s="109">
        <f>IF($J$1="March","",Y1198)</f>
        <v>0</v>
      </c>
      <c r="V1199" s="74"/>
      <c r="W1199" s="109">
        <f t="shared" si="246"/>
        <v>0</v>
      </c>
      <c r="X1199" s="74"/>
      <c r="Y1199" s="109">
        <f t="shared" si="247"/>
        <v>0</v>
      </c>
      <c r="Z1199" s="63"/>
    </row>
    <row r="1200" spans="1:26" s="29" customFormat="1" ht="21" customHeight="1" x14ac:dyDescent="0.2">
      <c r="A1200" s="30"/>
      <c r="B1200" s="472" t="s">
        <v>44</v>
      </c>
      <c r="C1200" s="473"/>
      <c r="F1200" s="48" t="s">
        <v>66</v>
      </c>
      <c r="G1200" s="43">
        <f>IF($J$1="January",U1196,IF($J$1="February",U1197,IF($J$1="March",U1198,IF($J$1="April",U1199,IF($J$1="May",U1200,IF($J$1="June",U1201,IF($J$1="July",U1202,IF($J$1="August",U1203,IF($J$1="August",U1203,IF($J$1="September",U1204,IF($J$1="October",U1205,IF($J$1="November",U1206,IF($J$1="December",U1207)))))))))))))</f>
        <v>0</v>
      </c>
      <c r="H1200" s="47"/>
      <c r="I1200" s="49">
        <f>IF(C1204&gt;0,$K$2,C1202)</f>
        <v>30</v>
      </c>
      <c r="J1200" s="50" t="s">
        <v>63</v>
      </c>
      <c r="K1200" s="362">
        <f>K1196/$K$2*I1200</f>
        <v>62903.225806451621</v>
      </c>
      <c r="L1200" s="52"/>
      <c r="N1200" s="71"/>
      <c r="O1200" s="72" t="s">
        <v>50</v>
      </c>
      <c r="P1200" s="72"/>
      <c r="Q1200" s="72"/>
      <c r="R1200" s="72" t="str">
        <f t="shared" ref="R1200:R1207" si="248">IF(Q1200="","",R1199-Q1200)</f>
        <v/>
      </c>
      <c r="S1200" s="63"/>
      <c r="T1200" s="72" t="s">
        <v>50</v>
      </c>
      <c r="U1200" s="109">
        <f>IF($J$1="April","",Y1199)</f>
        <v>0</v>
      </c>
      <c r="V1200" s="74"/>
      <c r="W1200" s="109">
        <f t="shared" si="246"/>
        <v>0</v>
      </c>
      <c r="X1200" s="74"/>
      <c r="Y1200" s="109">
        <f t="shared" si="247"/>
        <v>0</v>
      </c>
      <c r="Z1200" s="63"/>
    </row>
    <row r="1201" spans="1:26" s="29" customFormat="1" ht="21" customHeight="1" x14ac:dyDescent="0.2">
      <c r="A1201" s="30"/>
      <c r="B1201" s="39"/>
      <c r="C1201" s="39"/>
      <c r="F1201" s="48" t="s">
        <v>22</v>
      </c>
      <c r="G1201" s="43">
        <f>IF($J$1="January",V1196,IF($J$1="February",V1197,IF($J$1="March",V1198,IF($J$1="April",V1199,IF($J$1="May",V1200,IF($J$1="June",V1201,IF($J$1="July",V1202,IF($J$1="August",V1203,IF($J$1="August",V1203,IF($J$1="September",V1204,IF($J$1="October",V1205,IF($J$1="November",V1206,IF($J$1="December",V1207)))))))))))))</f>
        <v>20000</v>
      </c>
      <c r="H1201" s="47"/>
      <c r="I1201" s="49"/>
      <c r="J1201" s="50" t="s">
        <v>64</v>
      </c>
      <c r="K1201" s="53">
        <f>K1196/$K$2/8*I1201</f>
        <v>0</v>
      </c>
      <c r="L1201" s="54"/>
      <c r="N1201" s="71"/>
      <c r="O1201" s="72" t="s">
        <v>51</v>
      </c>
      <c r="P1201" s="72"/>
      <c r="Q1201" s="72"/>
      <c r="R1201" s="72" t="str">
        <f t="shared" si="248"/>
        <v/>
      </c>
      <c r="S1201" s="63"/>
      <c r="T1201" s="72" t="s">
        <v>51</v>
      </c>
      <c r="U1201" s="109">
        <f>IF($J$1="May","",Y1200)</f>
        <v>0</v>
      </c>
      <c r="V1201" s="74"/>
      <c r="W1201" s="109">
        <f t="shared" si="246"/>
        <v>0</v>
      </c>
      <c r="X1201" s="74"/>
      <c r="Y1201" s="109">
        <f t="shared" si="247"/>
        <v>0</v>
      </c>
      <c r="Z1201" s="63"/>
    </row>
    <row r="1202" spans="1:26" s="29" customFormat="1" ht="21" customHeight="1" x14ac:dyDescent="0.2">
      <c r="A1202" s="30"/>
      <c r="B1202" s="48" t="s">
        <v>7</v>
      </c>
      <c r="C1202" s="39">
        <f>IF($J$1="January",P1196,IF($J$1="February",P1197,IF($J$1="March",P1198,IF($J$1="April",P1199,IF($J$1="May",P1200,IF($J$1="June",P1201,IF($J$1="July",P1202,IF($J$1="August",P1203,IF($J$1="August",P1203,IF($J$1="September",P1204,IF($J$1="October",P1205,IF($J$1="November",P1206,IF($J$1="December",P1207)))))))))))))</f>
        <v>30</v>
      </c>
      <c r="F1202" s="48" t="s">
        <v>67</v>
      </c>
      <c r="G1202" s="43">
        <f>IF($J$1="January",W1196,IF($J$1="February",W1197,IF($J$1="March",W1198,IF($J$1="April",W1199,IF($J$1="May",W1200,IF($J$1="June",W1201,IF($J$1="July",W1202,IF($J$1="August",W1203,IF($J$1="August",W1203,IF($J$1="September",W1204,IF($J$1="October",W1205,IF($J$1="November",W1206,IF($J$1="December",W1207)))))))))))))</f>
        <v>20000</v>
      </c>
      <c r="H1202" s="47"/>
      <c r="I1202" s="456" t="s">
        <v>71</v>
      </c>
      <c r="J1202" s="457"/>
      <c r="K1202" s="53">
        <f>K1200+K1201</f>
        <v>62903.225806451621</v>
      </c>
      <c r="L1202" s="54"/>
      <c r="N1202" s="71"/>
      <c r="O1202" s="72" t="s">
        <v>52</v>
      </c>
      <c r="P1202" s="72">
        <v>31</v>
      </c>
      <c r="Q1202" s="72">
        <v>0</v>
      </c>
      <c r="R1202" s="72">
        <v>0</v>
      </c>
      <c r="S1202" s="63"/>
      <c r="T1202" s="72" t="s">
        <v>52</v>
      </c>
      <c r="U1202" s="109">
        <f>IF($J$1="June","",Y1201)</f>
        <v>0</v>
      </c>
      <c r="V1202" s="74"/>
      <c r="W1202" s="109">
        <f t="shared" si="246"/>
        <v>0</v>
      </c>
      <c r="X1202" s="74"/>
      <c r="Y1202" s="109">
        <f t="shared" si="247"/>
        <v>0</v>
      </c>
      <c r="Z1202" s="63"/>
    </row>
    <row r="1203" spans="1:26" s="29" customFormat="1" ht="21" customHeight="1" x14ac:dyDescent="0.2">
      <c r="A1203" s="30"/>
      <c r="B1203" s="48" t="s">
        <v>6</v>
      </c>
      <c r="C1203" s="39">
        <f>IF($J$1="January",Q1196,IF($J$1="February",Q1197,IF($J$1="March",Q1198,IF($J$1="April",Q1199,IF($J$1="May",Q1200,IF($J$1="June",Q1201,IF($J$1="July",Q1202,IF($J$1="August",Q1203,IF($J$1="August",Q1203,IF($J$1="September",Q1204,IF($J$1="October",Q1205,IF($J$1="November",Q1206,IF($J$1="December",Q1207)))))))))))))</f>
        <v>1</v>
      </c>
      <c r="F1203" s="48" t="s">
        <v>23</v>
      </c>
      <c r="G1203" s="43">
        <f>IF($J$1="January",X1196,IF($J$1="February",X1197,IF($J$1="March",X1198,IF($J$1="April",X1199,IF($J$1="May",X1200,IF($J$1="June",X1201,IF($J$1="July",X1202,IF($J$1="August",X1203,IF($J$1="August",X1203,IF($J$1="September",X1204,IF($J$1="October",X1205,IF($J$1="November",X1206,IF($J$1="December",X1207)))))))))))))</f>
        <v>20000</v>
      </c>
      <c r="H1203" s="47"/>
      <c r="I1203" s="456" t="s">
        <v>72</v>
      </c>
      <c r="J1203" s="457"/>
      <c r="K1203" s="43">
        <f>G1203</f>
        <v>20000</v>
      </c>
      <c r="L1203" s="55"/>
      <c r="N1203" s="71"/>
      <c r="O1203" s="72" t="s">
        <v>53</v>
      </c>
      <c r="P1203" s="72">
        <v>31</v>
      </c>
      <c r="Q1203" s="72">
        <v>0</v>
      </c>
      <c r="R1203" s="72">
        <v>0</v>
      </c>
      <c r="S1203" s="63"/>
      <c r="T1203" s="72" t="s">
        <v>53</v>
      </c>
      <c r="U1203" s="109">
        <f>IF($J$1="July","",Y1202)</f>
        <v>0</v>
      </c>
      <c r="V1203" s="74"/>
      <c r="W1203" s="109">
        <f t="shared" si="246"/>
        <v>0</v>
      </c>
      <c r="X1203" s="74"/>
      <c r="Y1203" s="109">
        <f t="shared" si="247"/>
        <v>0</v>
      </c>
      <c r="Z1203" s="63"/>
    </row>
    <row r="1204" spans="1:26" s="29" customFormat="1" ht="21" customHeight="1" x14ac:dyDescent="0.2">
      <c r="A1204" s="30"/>
      <c r="B1204" s="56" t="s">
        <v>70</v>
      </c>
      <c r="C1204" s="39">
        <f>IF($J$1="January",R1196,IF($J$1="February",R1197,IF($J$1="March",R1198,IF($J$1="April",R1199,IF($J$1="May",R1200,IF($J$1="June",R1201,IF($J$1="July",R1202,IF($J$1="August",R1203,IF($J$1="August",R1203,IF($J$1="September",R1204,IF($J$1="October",R1205,IF($J$1="November",R1206,IF($J$1="December",R1207)))))))))))))</f>
        <v>0</v>
      </c>
      <c r="F1204" s="48" t="s">
        <v>69</v>
      </c>
      <c r="G1204" s="43">
        <f>IF($J$1="January",Y1196,IF($J$1="February",Y1197,IF($J$1="March",Y1198,IF($J$1="April",Y1199,IF($J$1="May",Y1200,IF($J$1="June",Y1201,IF($J$1="July",Y1202,IF($J$1="August",Y1203,IF($J$1="August",Y1203,IF($J$1="September",Y1204,IF($J$1="October",Y1205,IF($J$1="November",Y1206,IF($J$1="December",Y1207)))))))))))))</f>
        <v>0</v>
      </c>
      <c r="I1204" s="458" t="s">
        <v>65</v>
      </c>
      <c r="J1204" s="459"/>
      <c r="K1204" s="57">
        <f>K1202-K1203</f>
        <v>42903.225806451621</v>
      </c>
      <c r="L1204" s="58"/>
      <c r="N1204" s="71"/>
      <c r="O1204" s="72" t="s">
        <v>58</v>
      </c>
      <c r="P1204" s="72">
        <v>29</v>
      </c>
      <c r="Q1204" s="72">
        <v>1</v>
      </c>
      <c r="R1204" s="72">
        <v>0</v>
      </c>
      <c r="S1204" s="63"/>
      <c r="T1204" s="72" t="s">
        <v>58</v>
      </c>
      <c r="U1204" s="109">
        <f>IF($J$1="August","",Y1203)</f>
        <v>0</v>
      </c>
      <c r="V1204" s="74"/>
      <c r="W1204" s="109">
        <f t="shared" si="246"/>
        <v>0</v>
      </c>
      <c r="X1204" s="74"/>
      <c r="Y1204" s="109">
        <f t="shared" si="247"/>
        <v>0</v>
      </c>
      <c r="Z1204" s="63"/>
    </row>
    <row r="1205" spans="1:26" s="29" customFormat="1" ht="21" customHeight="1" x14ac:dyDescent="0.2">
      <c r="A1205" s="30"/>
      <c r="J1205" s="47"/>
      <c r="K1205" s="47"/>
      <c r="L1205" s="46"/>
      <c r="N1205" s="71"/>
      <c r="O1205" s="72" t="s">
        <v>54</v>
      </c>
      <c r="P1205" s="72">
        <v>30</v>
      </c>
      <c r="Q1205" s="72">
        <v>1</v>
      </c>
      <c r="R1205" s="72">
        <v>0</v>
      </c>
      <c r="S1205" s="63"/>
      <c r="T1205" s="72" t="s">
        <v>54</v>
      </c>
      <c r="U1205" s="109">
        <f>IF($J$1="September","",Y1204)</f>
        <v>0</v>
      </c>
      <c r="V1205" s="74">
        <f>15000+5000</f>
        <v>20000</v>
      </c>
      <c r="W1205" s="109">
        <f t="shared" si="246"/>
        <v>20000</v>
      </c>
      <c r="X1205" s="74">
        <v>20000</v>
      </c>
      <c r="Y1205" s="109">
        <f t="shared" si="247"/>
        <v>0</v>
      </c>
      <c r="Z1205" s="63"/>
    </row>
    <row r="1206" spans="1:26" s="29" customFormat="1" ht="21" customHeight="1" x14ac:dyDescent="0.2">
      <c r="A1206" s="30"/>
      <c r="B1206" s="455" t="s">
        <v>94</v>
      </c>
      <c r="C1206" s="455"/>
      <c r="D1206" s="455"/>
      <c r="E1206" s="455"/>
      <c r="F1206" s="455"/>
      <c r="G1206" s="455"/>
      <c r="H1206" s="455"/>
      <c r="I1206" s="455"/>
      <c r="J1206" s="455"/>
      <c r="K1206" s="455"/>
      <c r="L1206" s="46"/>
      <c r="N1206" s="71"/>
      <c r="O1206" s="72" t="s">
        <v>59</v>
      </c>
      <c r="P1206" s="72"/>
      <c r="Q1206" s="72"/>
      <c r="R1206" s="72">
        <v>0</v>
      </c>
      <c r="S1206" s="63"/>
      <c r="T1206" s="72" t="s">
        <v>59</v>
      </c>
      <c r="U1206" s="109" t="str">
        <f>IF($J$1="October","",Y1205)</f>
        <v/>
      </c>
      <c r="V1206" s="74"/>
      <c r="W1206" s="109" t="str">
        <f t="shared" si="246"/>
        <v/>
      </c>
      <c r="X1206" s="74"/>
      <c r="Y1206" s="109" t="str">
        <f t="shared" si="247"/>
        <v/>
      </c>
      <c r="Z1206" s="63"/>
    </row>
    <row r="1207" spans="1:26" s="29" customFormat="1" ht="21" customHeight="1" x14ac:dyDescent="0.2">
      <c r="A1207" s="30"/>
      <c r="B1207" s="455"/>
      <c r="C1207" s="455"/>
      <c r="D1207" s="455"/>
      <c r="E1207" s="455"/>
      <c r="F1207" s="455"/>
      <c r="G1207" s="455"/>
      <c r="H1207" s="455"/>
      <c r="I1207" s="455"/>
      <c r="J1207" s="455"/>
      <c r="K1207" s="455"/>
      <c r="L1207" s="46"/>
      <c r="N1207" s="71"/>
      <c r="O1207" s="72" t="s">
        <v>60</v>
      </c>
      <c r="P1207" s="72"/>
      <c r="Q1207" s="72"/>
      <c r="R1207" s="72" t="str">
        <f t="shared" si="248"/>
        <v/>
      </c>
      <c r="S1207" s="63"/>
      <c r="T1207" s="72" t="s">
        <v>60</v>
      </c>
      <c r="U1207" s="109" t="str">
        <f>IF($J$1="November","",Y1206)</f>
        <v/>
      </c>
      <c r="V1207" s="74"/>
      <c r="W1207" s="109" t="str">
        <f t="shared" si="246"/>
        <v/>
      </c>
      <c r="X1207" s="74"/>
      <c r="Y1207" s="109" t="str">
        <f t="shared" si="247"/>
        <v/>
      </c>
      <c r="Z1207" s="63"/>
    </row>
    <row r="1208" spans="1:26" s="29" customFormat="1" ht="21" customHeight="1" thickBot="1" x14ac:dyDescent="0.25">
      <c r="A1208" s="59"/>
      <c r="B1208" s="60"/>
      <c r="C1208" s="60"/>
      <c r="D1208" s="60"/>
      <c r="E1208" s="60"/>
      <c r="F1208" s="60"/>
      <c r="G1208" s="60"/>
      <c r="H1208" s="60"/>
      <c r="I1208" s="60"/>
      <c r="J1208" s="60"/>
      <c r="K1208" s="60"/>
      <c r="L1208" s="61"/>
      <c r="N1208" s="77"/>
      <c r="O1208" s="78"/>
      <c r="P1208" s="78"/>
      <c r="Q1208" s="78"/>
      <c r="R1208" s="78"/>
      <c r="S1208" s="78"/>
      <c r="T1208" s="78"/>
      <c r="U1208" s="78"/>
      <c r="V1208" s="78"/>
      <c r="W1208" s="78"/>
      <c r="X1208" s="78"/>
      <c r="Y1208" s="78"/>
      <c r="Z1208" s="63"/>
    </row>
    <row r="1209" spans="1:26" s="29" customFormat="1" ht="21" customHeight="1" thickBot="1" x14ac:dyDescent="0.25">
      <c r="A1209" s="30"/>
      <c r="L1209" s="46"/>
      <c r="N1209" s="71"/>
      <c r="O1209" s="63"/>
      <c r="P1209" s="63"/>
      <c r="Q1209" s="63"/>
      <c r="R1209" s="63"/>
      <c r="S1209" s="63"/>
      <c r="T1209" s="63"/>
      <c r="U1209" s="63"/>
      <c r="V1209" s="63"/>
      <c r="W1209" s="63"/>
      <c r="X1209" s="63"/>
      <c r="Y1209" s="63"/>
      <c r="Z1209" s="63"/>
    </row>
    <row r="1210" spans="1:26" s="29" customFormat="1" ht="21.4" customHeight="1" x14ac:dyDescent="0.2">
      <c r="A1210" s="511" t="s">
        <v>42</v>
      </c>
      <c r="B1210" s="512"/>
      <c r="C1210" s="512"/>
      <c r="D1210" s="512"/>
      <c r="E1210" s="512"/>
      <c r="F1210" s="512"/>
      <c r="G1210" s="512"/>
      <c r="H1210" s="512"/>
      <c r="I1210" s="512"/>
      <c r="J1210" s="512"/>
      <c r="K1210" s="512"/>
      <c r="L1210" s="513"/>
      <c r="M1210" s="28"/>
      <c r="N1210" s="64"/>
      <c r="O1210" s="469" t="s">
        <v>44</v>
      </c>
      <c r="P1210" s="470"/>
      <c r="Q1210" s="470"/>
      <c r="R1210" s="471"/>
      <c r="S1210" s="65"/>
      <c r="T1210" s="469" t="s">
        <v>45</v>
      </c>
      <c r="U1210" s="470"/>
      <c r="V1210" s="470"/>
      <c r="W1210" s="470"/>
      <c r="X1210" s="470"/>
      <c r="Y1210" s="471"/>
      <c r="Z1210" s="66"/>
    </row>
    <row r="1211" spans="1:26" s="29" customFormat="1" ht="21.4" customHeight="1" x14ac:dyDescent="0.2">
      <c r="A1211" s="30"/>
      <c r="C1211" s="466" t="s">
        <v>92</v>
      </c>
      <c r="D1211" s="466"/>
      <c r="E1211" s="466"/>
      <c r="F1211" s="466"/>
      <c r="G1211" s="31" t="str">
        <f>$J$1</f>
        <v>October</v>
      </c>
      <c r="H1211" s="467">
        <f>$K$1</f>
        <v>2022</v>
      </c>
      <c r="I1211" s="467"/>
      <c r="K1211" s="32"/>
      <c r="L1211" s="33"/>
      <c r="M1211" s="32"/>
      <c r="N1211" s="67"/>
      <c r="O1211" s="68" t="s">
        <v>55</v>
      </c>
      <c r="P1211" s="68" t="s">
        <v>7</v>
      </c>
      <c r="Q1211" s="68" t="s">
        <v>6</v>
      </c>
      <c r="R1211" s="68" t="s">
        <v>56</v>
      </c>
      <c r="S1211" s="69"/>
      <c r="T1211" s="68" t="s">
        <v>55</v>
      </c>
      <c r="U1211" s="68" t="s">
        <v>57</v>
      </c>
      <c r="V1211" s="68" t="s">
        <v>22</v>
      </c>
      <c r="W1211" s="68" t="s">
        <v>21</v>
      </c>
      <c r="X1211" s="68" t="s">
        <v>23</v>
      </c>
      <c r="Y1211" s="68" t="s">
        <v>61</v>
      </c>
      <c r="Z1211" s="70"/>
    </row>
    <row r="1212" spans="1:26" s="29" customFormat="1" ht="21.4" customHeight="1" x14ac:dyDescent="0.2">
      <c r="A1212" s="30"/>
      <c r="D1212" s="35"/>
      <c r="E1212" s="35"/>
      <c r="F1212" s="35"/>
      <c r="G1212" s="35"/>
      <c r="H1212" s="35"/>
      <c r="J1212" s="36" t="s">
        <v>1</v>
      </c>
      <c r="K1212" s="37">
        <v>38000</v>
      </c>
      <c r="L1212" s="38"/>
      <c r="N1212" s="71"/>
      <c r="O1212" s="72" t="s">
        <v>47</v>
      </c>
      <c r="P1212" s="72"/>
      <c r="Q1212" s="72"/>
      <c r="R1212" s="72">
        <v>0</v>
      </c>
      <c r="S1212" s="73"/>
      <c r="T1212" s="72" t="s">
        <v>47</v>
      </c>
      <c r="U1212" s="74"/>
      <c r="V1212" s="74"/>
      <c r="W1212" s="74">
        <f>V1212+U1212</f>
        <v>0</v>
      </c>
      <c r="X1212" s="74"/>
      <c r="Y1212" s="74">
        <f>W1212-X1212</f>
        <v>0</v>
      </c>
      <c r="Z1212" s="70"/>
    </row>
    <row r="1213" spans="1:26" s="29" customFormat="1" ht="21.4" customHeight="1" x14ac:dyDescent="0.2">
      <c r="A1213" s="30"/>
      <c r="B1213" s="29" t="s">
        <v>0</v>
      </c>
      <c r="C1213" s="40" t="s">
        <v>253</v>
      </c>
      <c r="H1213" s="41"/>
      <c r="I1213" s="35"/>
      <c r="L1213" s="42"/>
      <c r="M1213" s="28"/>
      <c r="N1213" s="75"/>
      <c r="O1213" s="72" t="s">
        <v>73</v>
      </c>
      <c r="P1213" s="72"/>
      <c r="Q1213" s="72"/>
      <c r="R1213" s="72">
        <v>0</v>
      </c>
      <c r="S1213" s="63"/>
      <c r="T1213" s="72" t="s">
        <v>73</v>
      </c>
      <c r="U1213" s="109">
        <f>Y1212</f>
        <v>0</v>
      </c>
      <c r="V1213" s="74"/>
      <c r="W1213" s="109">
        <f>IF(U1213="","",U1213+V1213)</f>
        <v>0</v>
      </c>
      <c r="X1213" s="74"/>
      <c r="Y1213" s="109">
        <f>IF(W1213="","",W1213-X1213)</f>
        <v>0</v>
      </c>
      <c r="Z1213" s="76"/>
    </row>
    <row r="1214" spans="1:26" s="29" customFormat="1" ht="21.4" customHeight="1" x14ac:dyDescent="0.2">
      <c r="A1214" s="30"/>
      <c r="B1214" s="44" t="s">
        <v>43</v>
      </c>
      <c r="C1214" s="125"/>
      <c r="F1214" s="468" t="s">
        <v>45</v>
      </c>
      <c r="G1214" s="468"/>
      <c r="I1214" s="468" t="s">
        <v>46</v>
      </c>
      <c r="J1214" s="468"/>
      <c r="K1214" s="468"/>
      <c r="L1214" s="46"/>
      <c r="N1214" s="71"/>
      <c r="O1214" s="72" t="s">
        <v>48</v>
      </c>
      <c r="P1214" s="72"/>
      <c r="Q1214" s="72"/>
      <c r="R1214" s="72">
        <v>0</v>
      </c>
      <c r="S1214" s="63"/>
      <c r="T1214" s="72" t="s">
        <v>48</v>
      </c>
      <c r="U1214" s="109">
        <f>IF($J$1="April",Y1213,Y1213)</f>
        <v>0</v>
      </c>
      <c r="V1214" s="74"/>
      <c r="W1214" s="109">
        <f t="shared" ref="W1214:W1223" si="249">IF(U1214="","",U1214+V1214)</f>
        <v>0</v>
      </c>
      <c r="X1214" s="74"/>
      <c r="Y1214" s="109">
        <f t="shared" ref="Y1214:Y1223" si="250">IF(W1214="","",W1214-X1214)</f>
        <v>0</v>
      </c>
      <c r="Z1214" s="76"/>
    </row>
    <row r="1215" spans="1:26" s="29" customFormat="1" ht="21.4" customHeight="1" x14ac:dyDescent="0.2">
      <c r="A1215" s="30"/>
      <c r="H1215" s="47"/>
      <c r="L1215" s="34"/>
      <c r="N1215" s="71"/>
      <c r="O1215" s="72" t="s">
        <v>49</v>
      </c>
      <c r="P1215" s="72"/>
      <c r="Q1215" s="72"/>
      <c r="R1215" s="72">
        <v>0</v>
      </c>
      <c r="S1215" s="63"/>
      <c r="T1215" s="72" t="s">
        <v>49</v>
      </c>
      <c r="U1215" s="109">
        <f>IF($J$1="April",Y1214,Y1214)</f>
        <v>0</v>
      </c>
      <c r="V1215" s="74"/>
      <c r="W1215" s="109">
        <f t="shared" si="249"/>
        <v>0</v>
      </c>
      <c r="X1215" s="74"/>
      <c r="Y1215" s="109">
        <f t="shared" si="250"/>
        <v>0</v>
      </c>
      <c r="Z1215" s="76"/>
    </row>
    <row r="1216" spans="1:26" s="29" customFormat="1" ht="21.4" customHeight="1" x14ac:dyDescent="0.2">
      <c r="A1216" s="30"/>
      <c r="B1216" s="472" t="s">
        <v>44</v>
      </c>
      <c r="C1216" s="473"/>
      <c r="F1216" s="48" t="s">
        <v>66</v>
      </c>
      <c r="G1216" s="43">
        <f>IF($J$1="January",U1212,IF($J$1="February",U1213,IF($J$1="March",U1214,IF($J$1="April",U1215,IF($J$1="May",U1216,IF($J$1="June",U1217,IF($J$1="July",U1218,IF($J$1="August",U1219,IF($J$1="August",U1219,IF($J$1="September",U1220,IF($J$1="October",U1221,IF($J$1="November",U1222,IF($J$1="December",U1223)))))))))))))</f>
        <v>35000</v>
      </c>
      <c r="H1216" s="47"/>
      <c r="I1216" s="49">
        <f>IF(C1220&gt;0,$K$2,C1218)+1</f>
        <v>30</v>
      </c>
      <c r="J1216" s="50" t="s">
        <v>63</v>
      </c>
      <c r="K1216" s="51">
        <f>K1212/$K$2*I1216</f>
        <v>36774.193548387098</v>
      </c>
      <c r="L1216" s="52"/>
      <c r="N1216" s="71"/>
      <c r="O1216" s="72" t="s">
        <v>50</v>
      </c>
      <c r="P1216" s="72"/>
      <c r="Q1216" s="72"/>
      <c r="R1216" s="72">
        <v>0</v>
      </c>
      <c r="S1216" s="63"/>
      <c r="T1216" s="72" t="s">
        <v>50</v>
      </c>
      <c r="U1216" s="109">
        <f>IF($J$1="May",Y1215,Y1215)</f>
        <v>0</v>
      </c>
      <c r="V1216" s="74"/>
      <c r="W1216" s="109">
        <f t="shared" si="249"/>
        <v>0</v>
      </c>
      <c r="X1216" s="74"/>
      <c r="Y1216" s="109">
        <f t="shared" si="250"/>
        <v>0</v>
      </c>
      <c r="Z1216" s="76"/>
    </row>
    <row r="1217" spans="1:27" s="29" customFormat="1" ht="21.4" customHeight="1" x14ac:dyDescent="0.2">
      <c r="A1217" s="30"/>
      <c r="B1217" s="39"/>
      <c r="C1217" s="39"/>
      <c r="F1217" s="48" t="s">
        <v>22</v>
      </c>
      <c r="G1217" s="43">
        <f>IF($J$1="January",V1212,IF($J$1="February",V1213,IF($J$1="March",V1214,IF($J$1="April",V1215,IF($J$1="May",V1216,IF($J$1="June",V1217,IF($J$1="July",V1218,IF($J$1="August",V1219,IF($J$1="August",V1219,IF($J$1="September",V1220,IF($J$1="October",V1221,IF($J$1="November",V1222,IF($J$1="December",V1223)))))))))))))</f>
        <v>10000</v>
      </c>
      <c r="H1217" s="47"/>
      <c r="I1217" s="84"/>
      <c r="J1217" s="50" t="s">
        <v>64</v>
      </c>
      <c r="K1217" s="53">
        <f>K1212/$K$2/8*I1217</f>
        <v>0</v>
      </c>
      <c r="L1217" s="54"/>
      <c r="N1217" s="71"/>
      <c r="O1217" s="72" t="s">
        <v>51</v>
      </c>
      <c r="P1217" s="72"/>
      <c r="Q1217" s="72"/>
      <c r="R1217" s="72">
        <v>0</v>
      </c>
      <c r="S1217" s="63"/>
      <c r="T1217" s="72" t="s">
        <v>51</v>
      </c>
      <c r="U1217" s="109">
        <f>IF($J$1="April",Y1216,Y1216)</f>
        <v>0</v>
      </c>
      <c r="V1217" s="74"/>
      <c r="W1217" s="109">
        <f t="shared" si="249"/>
        <v>0</v>
      </c>
      <c r="X1217" s="74"/>
      <c r="Y1217" s="109">
        <f t="shared" si="250"/>
        <v>0</v>
      </c>
      <c r="Z1217" s="76"/>
    </row>
    <row r="1218" spans="1:27" s="29" customFormat="1" ht="21.4" customHeight="1" x14ac:dyDescent="0.2">
      <c r="A1218" s="30"/>
      <c r="B1218" s="48" t="s">
        <v>7</v>
      </c>
      <c r="C1218" s="39">
        <f>IF($J$1="January",P1212,IF($J$1="February",P1213,IF($J$1="March",P1214,IF($J$1="April",P1215,IF($J$1="May",P1216,IF($J$1="June",P1217,IF($J$1="July",P1218,IF($J$1="August",P1219,IF($J$1="August",P1219,IF($J$1="September",P1220,IF($J$1="October",P1221,IF($J$1="November",P1222,IF($J$1="December",P1223)))))))))))))</f>
        <v>29</v>
      </c>
      <c r="F1218" s="48" t="s">
        <v>67</v>
      </c>
      <c r="G1218" s="43">
        <f>IF($J$1="January",W1212,IF($J$1="February",W1213,IF($J$1="March",W1214,IF($J$1="April",W1215,IF($J$1="May",W1216,IF($J$1="June",W1217,IF($J$1="July",W1218,IF($J$1="August",W1219,IF($J$1="August",W1219,IF($J$1="September",W1220,IF($J$1="October",W1221,IF($J$1="November",W1222,IF($J$1="December",W1223)))))))))))))</f>
        <v>45000</v>
      </c>
      <c r="H1218" s="47"/>
      <c r="I1218" s="456" t="s">
        <v>71</v>
      </c>
      <c r="J1218" s="457"/>
      <c r="K1218" s="53">
        <f>K1216+K1217</f>
        <v>36774.193548387098</v>
      </c>
      <c r="L1218" s="54"/>
      <c r="N1218" s="71"/>
      <c r="O1218" s="72" t="s">
        <v>52</v>
      </c>
      <c r="P1218" s="72"/>
      <c r="Q1218" s="72"/>
      <c r="R1218" s="72">
        <v>0</v>
      </c>
      <c r="S1218" s="63"/>
      <c r="T1218" s="72" t="s">
        <v>52</v>
      </c>
      <c r="U1218" s="109">
        <f>Y1217</f>
        <v>0</v>
      </c>
      <c r="V1218" s="74">
        <v>35000</v>
      </c>
      <c r="W1218" s="109">
        <f t="shared" si="249"/>
        <v>35000</v>
      </c>
      <c r="X1218" s="74"/>
      <c r="Y1218" s="109">
        <f t="shared" si="250"/>
        <v>35000</v>
      </c>
      <c r="Z1218" s="76"/>
    </row>
    <row r="1219" spans="1:27" s="29" customFormat="1" ht="21.4" customHeight="1" x14ac:dyDescent="0.2">
      <c r="A1219" s="30"/>
      <c r="B1219" s="48" t="s">
        <v>6</v>
      </c>
      <c r="C1219" s="39">
        <f>IF($J$1="January",Q1212,IF($J$1="February",Q1213,IF($J$1="March",Q1214,IF($J$1="April",Q1215,IF($J$1="May",Q1216,IF($J$1="June",Q1217,IF($J$1="July",Q1218,IF($J$1="August",Q1219,IF($J$1="August",Q1219,IF($J$1="September",Q1220,IF($J$1="October",Q1221,IF($J$1="November",Q1222,IF($J$1="December",Q1223)))))))))))))</f>
        <v>2</v>
      </c>
      <c r="F1219" s="48" t="s">
        <v>23</v>
      </c>
      <c r="G1219" s="43">
        <f>IF($J$1="January",X1212,IF($J$1="February",X1213,IF($J$1="March",X1214,IF($J$1="April",X1215,IF($J$1="May",X1216,IF($J$1="June",X1217,IF($J$1="July",X1218,IF($J$1="August",X1219,IF($J$1="August",X1219,IF($J$1="September",X1220,IF($J$1="October",X1221,IF($J$1="November",X1222,IF($J$1="December",X1223)))))))))))))</f>
        <v>10000</v>
      </c>
      <c r="H1219" s="47"/>
      <c r="I1219" s="456" t="s">
        <v>72</v>
      </c>
      <c r="J1219" s="457"/>
      <c r="K1219" s="43">
        <f>G1219</f>
        <v>10000</v>
      </c>
      <c r="L1219" s="55"/>
      <c r="N1219" s="71"/>
      <c r="O1219" s="72" t="s">
        <v>53</v>
      </c>
      <c r="P1219" s="72">
        <v>31</v>
      </c>
      <c r="Q1219" s="72">
        <v>0</v>
      </c>
      <c r="R1219" s="72">
        <v>0</v>
      </c>
      <c r="S1219" s="63"/>
      <c r="T1219" s="72" t="s">
        <v>53</v>
      </c>
      <c r="U1219" s="109">
        <f>Y1218</f>
        <v>35000</v>
      </c>
      <c r="V1219" s="74"/>
      <c r="W1219" s="109">
        <f t="shared" si="249"/>
        <v>35000</v>
      </c>
      <c r="X1219" s="74"/>
      <c r="Y1219" s="109">
        <f t="shared" si="250"/>
        <v>35000</v>
      </c>
      <c r="Z1219" s="76"/>
    </row>
    <row r="1220" spans="1:27" s="29" customFormat="1" ht="21.4" customHeight="1" x14ac:dyDescent="0.2">
      <c r="A1220" s="30"/>
      <c r="B1220" s="56" t="s">
        <v>70</v>
      </c>
      <c r="C1220" s="39">
        <f>IF($J$1="January",R1212,IF($J$1="February",R1213,IF($J$1="March",R1214,IF($J$1="April",R1215,IF($J$1="May",R1216,IF($J$1="June",R1217,IF($J$1="July",R1218,IF($J$1="August",R1219,IF($J$1="August",R1219,IF($J$1="September",R1220,IF($J$1="October",R1221,IF($J$1="November",R1222,IF($J$1="December",R1223)))))))))))))</f>
        <v>0</v>
      </c>
      <c r="F1220" s="48" t="s">
        <v>69</v>
      </c>
      <c r="G1220" s="43">
        <f>IF($J$1="January",Y1212,IF($J$1="February",Y1213,IF($J$1="March",Y1214,IF($J$1="April",Y1215,IF($J$1="May",Y1216,IF($J$1="June",Y1217,IF($J$1="July",Y1218,IF($J$1="August",Y1219,IF($J$1="August",Y1219,IF($J$1="September",Y1220,IF($J$1="October",Y1221,IF($J$1="November",Y1222,IF($J$1="December",Y1223)))))))))))))</f>
        <v>35000</v>
      </c>
      <c r="I1220" s="458" t="s">
        <v>65</v>
      </c>
      <c r="J1220" s="459"/>
      <c r="K1220" s="57">
        <f>K1218-K1219</f>
        <v>26774.193548387098</v>
      </c>
      <c r="L1220" s="58"/>
      <c r="N1220" s="71"/>
      <c r="O1220" s="72" t="s">
        <v>58</v>
      </c>
      <c r="P1220" s="72">
        <v>28</v>
      </c>
      <c r="Q1220" s="72">
        <v>2</v>
      </c>
      <c r="R1220" s="72">
        <v>0</v>
      </c>
      <c r="S1220" s="63">
        <v>0</v>
      </c>
      <c r="T1220" s="72" t="s">
        <v>58</v>
      </c>
      <c r="U1220" s="109">
        <f>Y1219</f>
        <v>35000</v>
      </c>
      <c r="V1220" s="74">
        <v>10000</v>
      </c>
      <c r="W1220" s="109">
        <f t="shared" si="249"/>
        <v>45000</v>
      </c>
      <c r="X1220" s="74">
        <v>10000</v>
      </c>
      <c r="Y1220" s="109">
        <f t="shared" si="250"/>
        <v>35000</v>
      </c>
      <c r="Z1220" s="76"/>
    </row>
    <row r="1221" spans="1:27" s="29" customFormat="1" ht="21.4" customHeight="1" x14ac:dyDescent="0.2">
      <c r="A1221" s="30"/>
      <c r="F1221" s="29" t="s">
        <v>260</v>
      </c>
      <c r="K1221" s="113"/>
      <c r="L1221" s="46"/>
      <c r="N1221" s="71"/>
      <c r="O1221" s="72" t="s">
        <v>54</v>
      </c>
      <c r="P1221" s="72">
        <v>29</v>
      </c>
      <c r="Q1221" s="72">
        <v>2</v>
      </c>
      <c r="R1221" s="72">
        <v>0</v>
      </c>
      <c r="S1221" s="63"/>
      <c r="T1221" s="72" t="s">
        <v>54</v>
      </c>
      <c r="U1221" s="109">
        <f>IF($J$1="October",Y1220,"")</f>
        <v>35000</v>
      </c>
      <c r="V1221" s="74">
        <v>10000</v>
      </c>
      <c r="W1221" s="109">
        <f t="shared" si="249"/>
        <v>45000</v>
      </c>
      <c r="X1221" s="74">
        <v>10000</v>
      </c>
      <c r="Y1221" s="109">
        <f t="shared" si="250"/>
        <v>35000</v>
      </c>
      <c r="Z1221" s="76"/>
    </row>
    <row r="1222" spans="1:27" s="29" customFormat="1" ht="21.4" customHeight="1" x14ac:dyDescent="0.2">
      <c r="A1222" s="30"/>
      <c r="B1222" s="455" t="s">
        <v>94</v>
      </c>
      <c r="C1222" s="455"/>
      <c r="D1222" s="455"/>
      <c r="E1222" s="455"/>
      <c r="F1222" s="455"/>
      <c r="G1222" s="455"/>
      <c r="H1222" s="455"/>
      <c r="I1222" s="455"/>
      <c r="J1222" s="455"/>
      <c r="K1222" s="455"/>
      <c r="L1222" s="46"/>
      <c r="N1222" s="71"/>
      <c r="O1222" s="72" t="s">
        <v>59</v>
      </c>
      <c r="P1222" s="72"/>
      <c r="Q1222" s="72"/>
      <c r="R1222" s="72">
        <v>0</v>
      </c>
      <c r="S1222" s="63"/>
      <c r="T1222" s="72" t="s">
        <v>59</v>
      </c>
      <c r="U1222" s="109" t="str">
        <f>IF($J$1="November",Y1221,"")</f>
        <v/>
      </c>
      <c r="V1222" s="74"/>
      <c r="W1222" s="109" t="str">
        <f t="shared" si="249"/>
        <v/>
      </c>
      <c r="X1222" s="74"/>
      <c r="Y1222" s="109" t="str">
        <f t="shared" si="250"/>
        <v/>
      </c>
      <c r="Z1222" s="76"/>
    </row>
    <row r="1223" spans="1:27" s="29" customFormat="1" ht="21.4" customHeight="1" x14ac:dyDescent="0.2">
      <c r="A1223" s="30"/>
      <c r="B1223" s="455"/>
      <c r="C1223" s="455"/>
      <c r="D1223" s="455"/>
      <c r="E1223" s="455"/>
      <c r="F1223" s="455"/>
      <c r="G1223" s="455"/>
      <c r="H1223" s="455"/>
      <c r="I1223" s="455"/>
      <c r="J1223" s="455"/>
      <c r="K1223" s="455"/>
      <c r="L1223" s="46"/>
      <c r="N1223" s="71"/>
      <c r="O1223" s="72" t="s">
        <v>60</v>
      </c>
      <c r="P1223" s="72"/>
      <c r="Q1223" s="72"/>
      <c r="R1223" s="72" t="str">
        <f>IF(Q1223="","",R1222-Q1223)</f>
        <v/>
      </c>
      <c r="S1223" s="63"/>
      <c r="T1223" s="72" t="s">
        <v>60</v>
      </c>
      <c r="U1223" s="109" t="str">
        <f>IF($J$1="Dec",Y1222,"")</f>
        <v/>
      </c>
      <c r="V1223" s="74"/>
      <c r="W1223" s="109" t="str">
        <f t="shared" si="249"/>
        <v/>
      </c>
      <c r="X1223" s="74"/>
      <c r="Y1223" s="109" t="str">
        <f t="shared" si="250"/>
        <v/>
      </c>
      <c r="Z1223" s="76"/>
    </row>
    <row r="1224" spans="1:27" s="29" customFormat="1" ht="21.4" customHeight="1" thickBot="1" x14ac:dyDescent="0.25">
      <c r="A1224" s="59"/>
      <c r="B1224" s="60"/>
      <c r="C1224" s="60"/>
      <c r="D1224" s="60"/>
      <c r="E1224" s="60"/>
      <c r="F1224" s="60"/>
      <c r="G1224" s="60"/>
      <c r="H1224" s="60"/>
      <c r="I1224" s="60"/>
      <c r="J1224" s="60"/>
      <c r="K1224" s="60"/>
      <c r="L1224" s="61"/>
      <c r="N1224" s="77"/>
      <c r="O1224" s="78"/>
      <c r="P1224" s="78"/>
      <c r="Q1224" s="78"/>
      <c r="R1224" s="78"/>
      <c r="S1224" s="78"/>
      <c r="T1224" s="78"/>
      <c r="U1224" s="78"/>
      <c r="V1224" s="78"/>
      <c r="W1224" s="78"/>
      <c r="X1224" s="78"/>
      <c r="Y1224" s="78"/>
      <c r="Z1224" s="79"/>
    </row>
    <row r="1225" spans="1:27" s="29" customFormat="1" ht="21" customHeight="1" thickBot="1" x14ac:dyDescent="0.25">
      <c r="A1225" s="30"/>
      <c r="L1225" s="46"/>
      <c r="N1225" s="71"/>
      <c r="O1225" s="63"/>
      <c r="P1225" s="63"/>
      <c r="Q1225" s="63"/>
      <c r="R1225" s="63"/>
      <c r="S1225" s="63"/>
      <c r="T1225" s="63"/>
      <c r="U1225" s="63"/>
      <c r="V1225" s="63"/>
      <c r="W1225" s="63"/>
      <c r="X1225" s="63"/>
      <c r="Y1225" s="63"/>
      <c r="Z1225" s="85"/>
    </row>
    <row r="1226" spans="1:27" s="29" customFormat="1" ht="21.4" customHeight="1" x14ac:dyDescent="0.2">
      <c r="A1226" s="463" t="s">
        <v>42</v>
      </c>
      <c r="B1226" s="464"/>
      <c r="C1226" s="464"/>
      <c r="D1226" s="464"/>
      <c r="E1226" s="464"/>
      <c r="F1226" s="464"/>
      <c r="G1226" s="464"/>
      <c r="H1226" s="464"/>
      <c r="I1226" s="464"/>
      <c r="J1226" s="464"/>
      <c r="K1226" s="464"/>
      <c r="L1226" s="465"/>
      <c r="M1226" s="28"/>
      <c r="N1226" s="64"/>
      <c r="O1226" s="469" t="s">
        <v>44</v>
      </c>
      <c r="P1226" s="470"/>
      <c r="Q1226" s="470"/>
      <c r="R1226" s="471"/>
      <c r="S1226" s="65"/>
      <c r="T1226" s="469" t="s">
        <v>45</v>
      </c>
      <c r="U1226" s="470"/>
      <c r="V1226" s="470"/>
      <c r="W1226" s="470"/>
      <c r="X1226" s="470"/>
      <c r="Y1226" s="471"/>
      <c r="Z1226" s="66"/>
      <c r="AA1226" s="28"/>
    </row>
    <row r="1227" spans="1:27" s="29" customFormat="1" ht="21.4" customHeight="1" x14ac:dyDescent="0.2">
      <c r="A1227" s="30"/>
      <c r="C1227" s="466" t="s">
        <v>92</v>
      </c>
      <c r="D1227" s="466"/>
      <c r="E1227" s="466"/>
      <c r="F1227" s="466"/>
      <c r="G1227" s="31" t="str">
        <f>$J$1</f>
        <v>October</v>
      </c>
      <c r="H1227" s="467">
        <f>$K$1</f>
        <v>2022</v>
      </c>
      <c r="I1227" s="467"/>
      <c r="K1227" s="32"/>
      <c r="L1227" s="33"/>
      <c r="M1227" s="32"/>
      <c r="N1227" s="67"/>
      <c r="O1227" s="68" t="s">
        <v>55</v>
      </c>
      <c r="P1227" s="68" t="s">
        <v>7</v>
      </c>
      <c r="Q1227" s="68" t="s">
        <v>6</v>
      </c>
      <c r="R1227" s="68" t="s">
        <v>56</v>
      </c>
      <c r="S1227" s="69"/>
      <c r="T1227" s="68" t="s">
        <v>55</v>
      </c>
      <c r="U1227" s="68" t="s">
        <v>57</v>
      </c>
      <c r="V1227" s="68" t="s">
        <v>22</v>
      </c>
      <c r="W1227" s="68" t="s">
        <v>21</v>
      </c>
      <c r="X1227" s="68" t="s">
        <v>23</v>
      </c>
      <c r="Y1227" s="68" t="s">
        <v>61</v>
      </c>
      <c r="Z1227" s="70"/>
      <c r="AA1227" s="32"/>
    </row>
    <row r="1228" spans="1:27" s="29" customFormat="1" ht="21.4" customHeight="1" x14ac:dyDescent="0.2">
      <c r="A1228" s="30"/>
      <c r="D1228" s="35"/>
      <c r="E1228" s="35"/>
      <c r="F1228" s="35"/>
      <c r="G1228" s="35"/>
      <c r="H1228" s="35"/>
      <c r="J1228" s="36" t="s">
        <v>1</v>
      </c>
      <c r="K1228" s="37">
        <f>18000+3000</f>
        <v>21000</v>
      </c>
      <c r="L1228" s="38"/>
      <c r="N1228" s="71"/>
      <c r="O1228" s="72" t="s">
        <v>47</v>
      </c>
      <c r="P1228" s="72"/>
      <c r="Q1228" s="72"/>
      <c r="R1228" s="72">
        <v>0</v>
      </c>
      <c r="S1228" s="73"/>
      <c r="T1228" s="72" t="s">
        <v>47</v>
      </c>
      <c r="U1228" s="74"/>
      <c r="V1228" s="74"/>
      <c r="W1228" s="74">
        <f>V1228+U1228</f>
        <v>0</v>
      </c>
      <c r="X1228" s="74"/>
      <c r="Y1228" s="74">
        <f>W1228-X1228</f>
        <v>0</v>
      </c>
      <c r="Z1228" s="70"/>
    </row>
    <row r="1229" spans="1:27" s="29" customFormat="1" ht="21.4" customHeight="1" x14ac:dyDescent="0.2">
      <c r="A1229" s="30"/>
      <c r="B1229" s="29" t="s">
        <v>0</v>
      </c>
      <c r="C1229" s="40" t="s">
        <v>257</v>
      </c>
      <c r="H1229" s="41"/>
      <c r="I1229" s="35"/>
      <c r="L1229" s="42"/>
      <c r="M1229" s="28"/>
      <c r="N1229" s="75"/>
      <c r="O1229" s="72" t="s">
        <v>73</v>
      </c>
      <c r="P1229" s="72"/>
      <c r="Q1229" s="72"/>
      <c r="R1229" s="72">
        <f>15-Q1229</f>
        <v>15</v>
      </c>
      <c r="S1229" s="63"/>
      <c r="T1229" s="72" t="s">
        <v>73</v>
      </c>
      <c r="U1229" s="109">
        <f>IF($J$1="January","",Y1228)</f>
        <v>0</v>
      </c>
      <c r="V1229" s="74"/>
      <c r="W1229" s="109">
        <f>IF(U1229="","",U1229+V1229)</f>
        <v>0</v>
      </c>
      <c r="X1229" s="74"/>
      <c r="Y1229" s="109">
        <f>IF(W1229="","",W1229-X1229)</f>
        <v>0</v>
      </c>
      <c r="Z1229" s="76"/>
      <c r="AA1229" s="28"/>
    </row>
    <row r="1230" spans="1:27" s="29" customFormat="1" ht="21.4" customHeight="1" x14ac:dyDescent="0.2">
      <c r="A1230" s="30"/>
      <c r="B1230" s="44" t="s">
        <v>43</v>
      </c>
      <c r="C1230" s="45"/>
      <c r="F1230" s="468" t="s">
        <v>45</v>
      </c>
      <c r="G1230" s="468"/>
      <c r="I1230" s="468" t="s">
        <v>46</v>
      </c>
      <c r="J1230" s="468"/>
      <c r="K1230" s="468"/>
      <c r="L1230" s="46"/>
      <c r="N1230" s="71"/>
      <c r="O1230" s="72" t="s">
        <v>48</v>
      </c>
      <c r="P1230" s="72"/>
      <c r="Q1230" s="72"/>
      <c r="R1230" s="72" t="str">
        <f t="shared" ref="R1230" si="251">IF(Q1230="","",R1229-Q1230)</f>
        <v/>
      </c>
      <c r="S1230" s="63"/>
      <c r="T1230" s="72" t="s">
        <v>48</v>
      </c>
      <c r="U1230" s="109">
        <f>IF($J$1="February","",Y1229)</f>
        <v>0</v>
      </c>
      <c r="V1230" s="74"/>
      <c r="W1230" s="109">
        <f t="shared" ref="W1230:W1239" si="252">IF(U1230="","",U1230+V1230)</f>
        <v>0</v>
      </c>
      <c r="X1230" s="74"/>
      <c r="Y1230" s="109">
        <f t="shared" ref="Y1230:Y1239" si="253">IF(W1230="","",W1230-X1230)</f>
        <v>0</v>
      </c>
      <c r="Z1230" s="76"/>
    </row>
    <row r="1231" spans="1:27" s="29" customFormat="1" ht="21.4" customHeight="1" x14ac:dyDescent="0.2">
      <c r="A1231" s="30"/>
      <c r="H1231" s="47"/>
      <c r="L1231" s="34"/>
      <c r="N1231" s="71"/>
      <c r="O1231" s="72" t="s">
        <v>49</v>
      </c>
      <c r="P1231" s="72"/>
      <c r="Q1231" s="72"/>
      <c r="R1231" s="72">
        <v>0</v>
      </c>
      <c r="S1231" s="63"/>
      <c r="T1231" s="72" t="s">
        <v>49</v>
      </c>
      <c r="U1231" s="109">
        <f>IF($J$1="March","",Y1230)</f>
        <v>0</v>
      </c>
      <c r="V1231" s="74"/>
      <c r="W1231" s="109">
        <f t="shared" si="252"/>
        <v>0</v>
      </c>
      <c r="X1231" s="74"/>
      <c r="Y1231" s="109">
        <f t="shared" si="253"/>
        <v>0</v>
      </c>
      <c r="Z1231" s="76"/>
    </row>
    <row r="1232" spans="1:27" s="29" customFormat="1" ht="21.4" customHeight="1" x14ac:dyDescent="0.2">
      <c r="A1232" s="30"/>
      <c r="B1232" s="472" t="s">
        <v>44</v>
      </c>
      <c r="C1232" s="473"/>
      <c r="F1232" s="48" t="s">
        <v>66</v>
      </c>
      <c r="G1232" s="43">
        <f>IF($J$1="January",U1228,IF($J$1="February",U1229,IF($J$1="March",U1230,IF($J$1="April",U1231,IF($J$1="May",U1232,IF($J$1="June",U1233,IF($J$1="July",U1234,IF($J$1="August",U1235,IF($J$1="August",U1235,IF($J$1="September",U1236,IF($J$1="October",U1237,IF($J$1="November",U1238,IF($J$1="December",U1239)))))))))))))</f>
        <v>0</v>
      </c>
      <c r="H1232" s="47"/>
      <c r="I1232" s="49">
        <f>IF(C1236&gt;0,$K$2,C1234)</f>
        <v>30</v>
      </c>
      <c r="J1232" s="50" t="s">
        <v>63</v>
      </c>
      <c r="K1232" s="51">
        <f>K1228/$K$2*I1232</f>
        <v>20322.580645161288</v>
      </c>
      <c r="L1232" s="52"/>
      <c r="N1232" s="71"/>
      <c r="O1232" s="72" t="s">
        <v>50</v>
      </c>
      <c r="P1232" s="72"/>
      <c r="Q1232" s="72"/>
      <c r="R1232" s="72">
        <v>0</v>
      </c>
      <c r="S1232" s="63"/>
      <c r="T1232" s="72" t="s">
        <v>50</v>
      </c>
      <c r="U1232" s="109">
        <f>IF($J$1="April","",Y1231)</f>
        <v>0</v>
      </c>
      <c r="V1232" s="74"/>
      <c r="W1232" s="109">
        <f t="shared" si="252"/>
        <v>0</v>
      </c>
      <c r="X1232" s="74"/>
      <c r="Y1232" s="109">
        <f t="shared" si="253"/>
        <v>0</v>
      </c>
      <c r="Z1232" s="76"/>
    </row>
    <row r="1233" spans="1:27" s="29" customFormat="1" ht="21.4" customHeight="1" x14ac:dyDescent="0.2">
      <c r="A1233" s="30"/>
      <c r="B1233" s="39"/>
      <c r="C1233" s="39"/>
      <c r="F1233" s="48" t="s">
        <v>22</v>
      </c>
      <c r="G1233" s="43">
        <f>IF($J$1="January",V1228,IF($J$1="February",V1229,IF($J$1="March",V1230,IF($J$1="April",V1231,IF($J$1="May",V1232,IF($J$1="June",V1233,IF($J$1="July",V1234,IF($J$1="August",V1235,IF($J$1="August",V1235,IF($J$1="September",V1236,IF($J$1="October",V1237,IF($J$1="November",V1238,IF($J$1="December",V1239)))))))))))))</f>
        <v>0</v>
      </c>
      <c r="H1233" s="47"/>
      <c r="I1233" s="84">
        <v>42</v>
      </c>
      <c r="J1233" s="50" t="s">
        <v>64</v>
      </c>
      <c r="K1233" s="53">
        <f>K1228/$K$2/8*I1233</f>
        <v>3556.4516129032254</v>
      </c>
      <c r="L1233" s="54"/>
      <c r="N1233" s="71"/>
      <c r="O1233" s="72" t="s">
        <v>51</v>
      </c>
      <c r="P1233" s="72"/>
      <c r="Q1233" s="72"/>
      <c r="R1233" s="72">
        <v>0</v>
      </c>
      <c r="S1233" s="63"/>
      <c r="T1233" s="72" t="s">
        <v>51</v>
      </c>
      <c r="U1233" s="109">
        <f>IF($J$1="May","",Y1232)</f>
        <v>0</v>
      </c>
      <c r="V1233" s="74"/>
      <c r="W1233" s="109">
        <f t="shared" si="252"/>
        <v>0</v>
      </c>
      <c r="X1233" s="74"/>
      <c r="Y1233" s="109">
        <f t="shared" si="253"/>
        <v>0</v>
      </c>
      <c r="Z1233" s="76"/>
    </row>
    <row r="1234" spans="1:27" s="29" customFormat="1" ht="21.4" customHeight="1" x14ac:dyDescent="0.2">
      <c r="A1234" s="30"/>
      <c r="B1234" s="48" t="s">
        <v>7</v>
      </c>
      <c r="C1234" s="39">
        <f>IF($J$1="January",P1228,IF($J$1="February",P1229,IF($J$1="March",P1230,IF($J$1="April",P1231,IF($J$1="May",P1232,IF($J$1="June",P1233,IF($J$1="July",P1234,IF($J$1="August",P1235,IF($J$1="August",P1235,IF($J$1="September",P1236,IF($J$1="October",P1237,IF($J$1="November",P1238,IF($J$1="December",P1239)))))))))))))</f>
        <v>30</v>
      </c>
      <c r="F1234" s="48" t="s">
        <v>67</v>
      </c>
      <c r="G1234" s="43">
        <f>IF($J$1="January",W1228,IF($J$1="February",W1229,IF($J$1="March",W1230,IF($J$1="April",W1231,IF($J$1="May",W1232,IF($J$1="June",W1233,IF($J$1="July",W1234,IF($J$1="August",W1235,IF($J$1="August",W1235,IF($J$1="September",W1236,IF($J$1="October",W1237,IF($J$1="November",W1238,IF($J$1="December",W1239)))))))))))))</f>
        <v>0</v>
      </c>
      <c r="H1234" s="47"/>
      <c r="I1234" s="456" t="s">
        <v>71</v>
      </c>
      <c r="J1234" s="457"/>
      <c r="K1234" s="53">
        <f>K1232+K1233</f>
        <v>23879.032258064515</v>
      </c>
      <c r="L1234" s="54"/>
      <c r="N1234" s="71"/>
      <c r="O1234" s="72" t="s">
        <v>52</v>
      </c>
      <c r="P1234" s="72"/>
      <c r="Q1234" s="72"/>
      <c r="R1234" s="72">
        <v>0</v>
      </c>
      <c r="S1234" s="63"/>
      <c r="T1234" s="72" t="s">
        <v>52</v>
      </c>
      <c r="U1234" s="109">
        <f>IF($J$1="June","",Y1233)</f>
        <v>0</v>
      </c>
      <c r="V1234" s="74"/>
      <c r="W1234" s="109">
        <f t="shared" si="252"/>
        <v>0</v>
      </c>
      <c r="X1234" s="74"/>
      <c r="Y1234" s="109">
        <f t="shared" si="253"/>
        <v>0</v>
      </c>
      <c r="Z1234" s="76"/>
    </row>
    <row r="1235" spans="1:27" s="29" customFormat="1" ht="21.4" customHeight="1" x14ac:dyDescent="0.2">
      <c r="A1235" s="30"/>
      <c r="B1235" s="48" t="s">
        <v>6</v>
      </c>
      <c r="C1235" s="39">
        <f>IF($J$1="January",Q1228,IF($J$1="February",Q1229,IF($J$1="March",Q1230,IF($J$1="April",Q1231,IF($J$1="May",Q1232,IF($J$1="June",Q1233,IF($J$1="July",Q1234,IF($J$1="August",Q1235,IF($J$1="August",Q1235,IF($J$1="September",Q1236,IF($J$1="October",Q1237,IF($J$1="November",Q1238,IF($J$1="December",Q1239)))))))))))))</f>
        <v>1</v>
      </c>
      <c r="F1235" s="48" t="s">
        <v>23</v>
      </c>
      <c r="G1235" s="43">
        <f>IF($J$1="January",X1228,IF($J$1="February",X1229,IF($J$1="March",X1230,IF($J$1="April",X1231,IF($J$1="May",X1232,IF($J$1="June",X1233,IF($J$1="July",X1234,IF($J$1="August",X1235,IF($J$1="August",X1235,IF($J$1="September",X1236,IF($J$1="October",X1237,IF($J$1="November",X1238,IF($J$1="December",X1239)))))))))))))</f>
        <v>0</v>
      </c>
      <c r="H1235" s="47"/>
      <c r="I1235" s="456" t="s">
        <v>72</v>
      </c>
      <c r="J1235" s="457"/>
      <c r="K1235" s="43">
        <f>G1235</f>
        <v>0</v>
      </c>
      <c r="L1235" s="55"/>
      <c r="N1235" s="71"/>
      <c r="O1235" s="72" t="s">
        <v>53</v>
      </c>
      <c r="P1235" s="72">
        <v>31</v>
      </c>
      <c r="Q1235" s="72">
        <v>0</v>
      </c>
      <c r="R1235" s="72">
        <v>0</v>
      </c>
      <c r="S1235" s="63"/>
      <c r="T1235" s="72" t="s">
        <v>53</v>
      </c>
      <c r="U1235" s="109">
        <f>IF($J$1="July","",Y1234)</f>
        <v>0</v>
      </c>
      <c r="V1235" s="74"/>
      <c r="W1235" s="109">
        <f t="shared" si="252"/>
        <v>0</v>
      </c>
      <c r="X1235" s="74"/>
      <c r="Y1235" s="109">
        <f t="shared" si="253"/>
        <v>0</v>
      </c>
      <c r="Z1235" s="76"/>
    </row>
    <row r="1236" spans="1:27" s="29" customFormat="1" ht="21.4" customHeight="1" x14ac:dyDescent="0.2">
      <c r="A1236" s="30"/>
      <c r="B1236" s="56" t="s">
        <v>70</v>
      </c>
      <c r="C1236" s="39">
        <f>IF($J$1="January",R1228,IF($J$1="February",R1229,IF($J$1="March",R1230,IF($J$1="April",R1231,IF($J$1="May",R1232,IF($J$1="June",R1233,IF($J$1="July",R1234,IF($J$1="August",R1235,IF($J$1="August",R1235,IF($J$1="September",R1236,IF($J$1="October",R1237,IF($J$1="November",R1238,IF($J$1="December",R1239)))))))))))))</f>
        <v>0</v>
      </c>
      <c r="F1236" s="48" t="s">
        <v>69</v>
      </c>
      <c r="G1236" s="43">
        <f>IF($J$1="January",Y1228,IF($J$1="February",Y1229,IF($J$1="March",Y1230,IF($J$1="April",Y1231,IF($J$1="May",Y1232,IF($J$1="June",Y1233,IF($J$1="July",Y1234,IF($J$1="August",Y1235,IF($J$1="August",Y1235,IF($J$1="September",Y1236,IF($J$1="October",Y1237,IF($J$1="November",Y1238,IF($J$1="December",Y1239)))))))))))))</f>
        <v>0</v>
      </c>
      <c r="I1236" s="458" t="s">
        <v>65</v>
      </c>
      <c r="J1236" s="459"/>
      <c r="K1236" s="57">
        <f>K1234-K1235</f>
        <v>23879.032258064515</v>
      </c>
      <c r="L1236" s="58"/>
      <c r="N1236" s="71"/>
      <c r="O1236" s="72" t="s">
        <v>58</v>
      </c>
      <c r="P1236" s="72">
        <v>30</v>
      </c>
      <c r="Q1236" s="72">
        <v>0</v>
      </c>
      <c r="R1236" s="72">
        <f>R1235-Q1236</f>
        <v>0</v>
      </c>
      <c r="S1236" s="63"/>
      <c r="T1236" s="72" t="s">
        <v>58</v>
      </c>
      <c r="U1236" s="109">
        <f>IF($J$1="August","",Y1235)</f>
        <v>0</v>
      </c>
      <c r="V1236" s="74"/>
      <c r="W1236" s="109">
        <f t="shared" si="252"/>
        <v>0</v>
      </c>
      <c r="X1236" s="74"/>
      <c r="Y1236" s="109">
        <f t="shared" si="253"/>
        <v>0</v>
      </c>
      <c r="Z1236" s="76"/>
    </row>
    <row r="1237" spans="1:27" s="29" customFormat="1" ht="21.4" customHeight="1" x14ac:dyDescent="0.2">
      <c r="A1237" s="30"/>
      <c r="J1237" s="47"/>
      <c r="K1237" s="113"/>
      <c r="L1237" s="46"/>
      <c r="N1237" s="71"/>
      <c r="O1237" s="72" t="s">
        <v>54</v>
      </c>
      <c r="P1237" s="72">
        <v>30</v>
      </c>
      <c r="Q1237" s="72">
        <v>1</v>
      </c>
      <c r="R1237" s="72">
        <v>0</v>
      </c>
      <c r="S1237" s="63"/>
      <c r="T1237" s="72" t="s">
        <v>54</v>
      </c>
      <c r="U1237" s="109">
        <f>IF($J$1="September","",Y1236)</f>
        <v>0</v>
      </c>
      <c r="V1237" s="74"/>
      <c r="W1237" s="109">
        <f t="shared" si="252"/>
        <v>0</v>
      </c>
      <c r="X1237" s="74"/>
      <c r="Y1237" s="109">
        <f t="shared" si="253"/>
        <v>0</v>
      </c>
      <c r="Z1237" s="76"/>
    </row>
    <row r="1238" spans="1:27" s="29" customFormat="1" ht="21.4" customHeight="1" x14ac:dyDescent="0.2">
      <c r="A1238" s="30"/>
      <c r="B1238" s="455" t="s">
        <v>94</v>
      </c>
      <c r="C1238" s="455"/>
      <c r="D1238" s="455"/>
      <c r="E1238" s="455"/>
      <c r="F1238" s="455"/>
      <c r="G1238" s="455"/>
      <c r="H1238" s="455"/>
      <c r="I1238" s="455"/>
      <c r="J1238" s="455"/>
      <c r="K1238" s="455"/>
      <c r="L1238" s="46"/>
      <c r="N1238" s="71"/>
      <c r="O1238" s="72" t="s">
        <v>59</v>
      </c>
      <c r="P1238" s="72"/>
      <c r="Q1238" s="72"/>
      <c r="R1238" s="72">
        <f>R1237-Q1238</f>
        <v>0</v>
      </c>
      <c r="S1238" s="63"/>
      <c r="T1238" s="72" t="s">
        <v>59</v>
      </c>
      <c r="U1238" s="109" t="str">
        <f>IF($J$1="October","",Y1237)</f>
        <v/>
      </c>
      <c r="V1238" s="74"/>
      <c r="W1238" s="109" t="str">
        <f t="shared" si="252"/>
        <v/>
      </c>
      <c r="X1238" s="74"/>
      <c r="Y1238" s="109" t="str">
        <f t="shared" si="253"/>
        <v/>
      </c>
      <c r="Z1238" s="76"/>
    </row>
    <row r="1239" spans="1:27" s="29" customFormat="1" ht="21.4" customHeight="1" x14ac:dyDescent="0.2">
      <c r="A1239" s="30"/>
      <c r="B1239" s="455"/>
      <c r="C1239" s="455"/>
      <c r="D1239" s="455"/>
      <c r="E1239" s="455"/>
      <c r="F1239" s="455"/>
      <c r="G1239" s="455"/>
      <c r="H1239" s="455"/>
      <c r="I1239" s="455"/>
      <c r="J1239" s="455"/>
      <c r="K1239" s="455"/>
      <c r="L1239" s="46"/>
      <c r="N1239" s="71"/>
      <c r="O1239" s="72" t="s">
        <v>60</v>
      </c>
      <c r="P1239" s="72"/>
      <c r="Q1239" s="72"/>
      <c r="R1239" s="72">
        <f>R1238-Q1239</f>
        <v>0</v>
      </c>
      <c r="S1239" s="63"/>
      <c r="T1239" s="72" t="s">
        <v>60</v>
      </c>
      <c r="U1239" s="109" t="str">
        <f>IF($J$1="November","",Y1238)</f>
        <v/>
      </c>
      <c r="V1239" s="74"/>
      <c r="W1239" s="109" t="str">
        <f t="shared" si="252"/>
        <v/>
      </c>
      <c r="X1239" s="74"/>
      <c r="Y1239" s="109" t="str">
        <f t="shared" si="253"/>
        <v/>
      </c>
      <c r="Z1239" s="76"/>
    </row>
    <row r="1240" spans="1:27" s="29" customFormat="1" ht="21.4" customHeight="1" thickBot="1" x14ac:dyDescent="0.25">
      <c r="A1240" s="59"/>
      <c r="B1240" s="60"/>
      <c r="C1240" s="60"/>
      <c r="D1240" s="60"/>
      <c r="E1240" s="60"/>
      <c r="F1240" s="60"/>
      <c r="G1240" s="60"/>
      <c r="H1240" s="60"/>
      <c r="I1240" s="60"/>
      <c r="J1240" s="60"/>
      <c r="K1240" s="60"/>
      <c r="L1240" s="61"/>
      <c r="N1240" s="77"/>
      <c r="O1240" s="78"/>
      <c r="P1240" s="78"/>
      <c r="Q1240" s="78"/>
      <c r="R1240" s="78"/>
      <c r="S1240" s="78"/>
      <c r="T1240" s="78"/>
      <c r="U1240" s="78"/>
      <c r="V1240" s="78"/>
      <c r="W1240" s="78"/>
      <c r="X1240" s="78"/>
      <c r="Y1240" s="78"/>
      <c r="Z1240" s="79"/>
    </row>
    <row r="1241" spans="1:27" s="29" customFormat="1" ht="21.4" customHeight="1" thickBot="1" x14ac:dyDescent="0.25">
      <c r="A1241" s="30"/>
      <c r="L1241" s="46"/>
      <c r="N1241" s="71"/>
      <c r="O1241" s="63"/>
      <c r="P1241" s="63"/>
      <c r="Q1241" s="63"/>
      <c r="R1241" s="63"/>
      <c r="S1241" s="63"/>
      <c r="T1241" s="63"/>
      <c r="U1241" s="63"/>
      <c r="V1241" s="63"/>
      <c r="W1241" s="63"/>
      <c r="X1241" s="63"/>
      <c r="Y1241" s="63"/>
      <c r="Z1241" s="85"/>
    </row>
    <row r="1242" spans="1:27" s="29" customFormat="1" ht="21.4" customHeight="1" x14ac:dyDescent="0.2">
      <c r="A1242" s="463" t="s">
        <v>42</v>
      </c>
      <c r="B1242" s="464"/>
      <c r="C1242" s="464"/>
      <c r="D1242" s="464"/>
      <c r="E1242" s="464"/>
      <c r="F1242" s="464"/>
      <c r="G1242" s="464"/>
      <c r="H1242" s="464"/>
      <c r="I1242" s="464"/>
      <c r="J1242" s="464"/>
      <c r="K1242" s="464"/>
      <c r="L1242" s="465"/>
      <c r="M1242" s="28"/>
      <c r="N1242" s="64"/>
      <c r="O1242" s="469" t="s">
        <v>44</v>
      </c>
      <c r="P1242" s="470"/>
      <c r="Q1242" s="470"/>
      <c r="R1242" s="471"/>
      <c r="S1242" s="65"/>
      <c r="T1242" s="469" t="s">
        <v>45</v>
      </c>
      <c r="U1242" s="470"/>
      <c r="V1242" s="470"/>
      <c r="W1242" s="470"/>
      <c r="X1242" s="470"/>
      <c r="Y1242" s="471"/>
      <c r="Z1242" s="66"/>
      <c r="AA1242" s="28"/>
    </row>
    <row r="1243" spans="1:27" s="29" customFormat="1" ht="21.4" customHeight="1" x14ac:dyDescent="0.2">
      <c r="A1243" s="30"/>
      <c r="C1243" s="466" t="s">
        <v>92</v>
      </c>
      <c r="D1243" s="466"/>
      <c r="E1243" s="466"/>
      <c r="F1243" s="466"/>
      <c r="G1243" s="31" t="str">
        <f>$J$1</f>
        <v>October</v>
      </c>
      <c r="H1243" s="467">
        <f>$K$1</f>
        <v>2022</v>
      </c>
      <c r="I1243" s="467"/>
      <c r="K1243" s="32"/>
      <c r="L1243" s="33"/>
      <c r="M1243" s="32"/>
      <c r="N1243" s="67"/>
      <c r="O1243" s="68" t="s">
        <v>55</v>
      </c>
      <c r="P1243" s="68" t="s">
        <v>7</v>
      </c>
      <c r="Q1243" s="68" t="s">
        <v>6</v>
      </c>
      <c r="R1243" s="68" t="s">
        <v>56</v>
      </c>
      <c r="S1243" s="69"/>
      <c r="T1243" s="68" t="s">
        <v>55</v>
      </c>
      <c r="U1243" s="68" t="s">
        <v>57</v>
      </c>
      <c r="V1243" s="68" t="s">
        <v>22</v>
      </c>
      <c r="W1243" s="68" t="s">
        <v>21</v>
      </c>
      <c r="X1243" s="68" t="s">
        <v>23</v>
      </c>
      <c r="Y1243" s="68" t="s">
        <v>61</v>
      </c>
      <c r="Z1243" s="70"/>
      <c r="AA1243" s="32"/>
    </row>
    <row r="1244" spans="1:27" s="29" customFormat="1" ht="21.4" customHeight="1" x14ac:dyDescent="0.2">
      <c r="A1244" s="30"/>
      <c r="D1244" s="35"/>
      <c r="E1244" s="35"/>
      <c r="F1244" s="35"/>
      <c r="G1244" s="35"/>
      <c r="H1244" s="35"/>
      <c r="J1244" s="36" t="s">
        <v>1</v>
      </c>
      <c r="K1244" s="37">
        <v>30000</v>
      </c>
      <c r="L1244" s="38"/>
      <c r="N1244" s="71"/>
      <c r="O1244" s="72" t="s">
        <v>47</v>
      </c>
      <c r="P1244" s="72"/>
      <c r="Q1244" s="72"/>
      <c r="R1244" s="72">
        <v>0</v>
      </c>
      <c r="S1244" s="73"/>
      <c r="T1244" s="72" t="s">
        <v>47</v>
      </c>
      <c r="U1244" s="74"/>
      <c r="V1244" s="74"/>
      <c r="W1244" s="74">
        <f>V1244+U1244</f>
        <v>0</v>
      </c>
      <c r="X1244" s="74"/>
      <c r="Y1244" s="74">
        <f>W1244-X1244</f>
        <v>0</v>
      </c>
      <c r="Z1244" s="70"/>
    </row>
    <row r="1245" spans="1:27" s="29" customFormat="1" ht="21.4" customHeight="1" x14ac:dyDescent="0.2">
      <c r="A1245" s="30"/>
      <c r="B1245" s="29" t="s">
        <v>0</v>
      </c>
      <c r="C1245" s="40" t="s">
        <v>259</v>
      </c>
      <c r="H1245" s="41"/>
      <c r="I1245" s="35"/>
      <c r="L1245" s="42"/>
      <c r="M1245" s="28"/>
      <c r="N1245" s="75"/>
      <c r="O1245" s="72" t="s">
        <v>73</v>
      </c>
      <c r="P1245" s="72"/>
      <c r="Q1245" s="72"/>
      <c r="R1245" s="72">
        <v>0</v>
      </c>
      <c r="S1245" s="63"/>
      <c r="T1245" s="72" t="s">
        <v>73</v>
      </c>
      <c r="U1245" s="109">
        <f>IF($J$1="January","",Y1244)</f>
        <v>0</v>
      </c>
      <c r="V1245" s="74"/>
      <c r="W1245" s="109">
        <f>IF(U1245="","",U1245+V1245)</f>
        <v>0</v>
      </c>
      <c r="X1245" s="74"/>
      <c r="Y1245" s="109">
        <f>IF(W1245="","",W1245-X1245)</f>
        <v>0</v>
      </c>
      <c r="Z1245" s="76"/>
      <c r="AA1245" s="28"/>
    </row>
    <row r="1246" spans="1:27" s="29" customFormat="1" ht="21.4" customHeight="1" x14ac:dyDescent="0.2">
      <c r="A1246" s="30"/>
      <c r="B1246" s="44" t="s">
        <v>43</v>
      </c>
      <c r="C1246" s="45"/>
      <c r="F1246" s="468" t="s">
        <v>45</v>
      </c>
      <c r="G1246" s="468"/>
      <c r="I1246" s="468" t="s">
        <v>46</v>
      </c>
      <c r="J1246" s="468"/>
      <c r="K1246" s="468"/>
      <c r="L1246" s="46"/>
      <c r="N1246" s="71"/>
      <c r="O1246" s="72" t="s">
        <v>48</v>
      </c>
      <c r="P1246" s="72"/>
      <c r="Q1246" s="72"/>
      <c r="R1246" s="72">
        <v>0</v>
      </c>
      <c r="S1246" s="63"/>
      <c r="T1246" s="72" t="s">
        <v>48</v>
      </c>
      <c r="U1246" s="109">
        <f>IF($J$1="February","",Y1245)</f>
        <v>0</v>
      </c>
      <c r="V1246" s="74"/>
      <c r="W1246" s="109">
        <f t="shared" ref="W1246:W1255" si="254">IF(U1246="","",U1246+V1246)</f>
        <v>0</v>
      </c>
      <c r="X1246" s="74"/>
      <c r="Y1246" s="109">
        <f t="shared" ref="Y1246:Y1255" si="255">IF(W1246="","",W1246-X1246)</f>
        <v>0</v>
      </c>
      <c r="Z1246" s="76"/>
    </row>
    <row r="1247" spans="1:27" s="29" customFormat="1" ht="21.4" customHeight="1" x14ac:dyDescent="0.2">
      <c r="A1247" s="30"/>
      <c r="H1247" s="47"/>
      <c r="L1247" s="34"/>
      <c r="N1247" s="71"/>
      <c r="O1247" s="72" t="s">
        <v>49</v>
      </c>
      <c r="P1247" s="72"/>
      <c r="Q1247" s="72"/>
      <c r="R1247" s="72" t="str">
        <f t="shared" ref="R1247:R1255" si="256">IF(Q1247="","",R1246-Q1247)</f>
        <v/>
      </c>
      <c r="S1247" s="63"/>
      <c r="T1247" s="72" t="s">
        <v>49</v>
      </c>
      <c r="U1247" s="109">
        <f>IF($J$1="March","",Y1246)</f>
        <v>0</v>
      </c>
      <c r="V1247" s="74"/>
      <c r="W1247" s="109">
        <f t="shared" si="254"/>
        <v>0</v>
      </c>
      <c r="X1247" s="74"/>
      <c r="Y1247" s="109">
        <f t="shared" si="255"/>
        <v>0</v>
      </c>
      <c r="Z1247" s="76"/>
    </row>
    <row r="1248" spans="1:27" s="29" customFormat="1" ht="21.4" customHeight="1" x14ac:dyDescent="0.2">
      <c r="A1248" s="30"/>
      <c r="B1248" s="472" t="s">
        <v>44</v>
      </c>
      <c r="C1248" s="473"/>
      <c r="F1248" s="48" t="s">
        <v>66</v>
      </c>
      <c r="G1248" s="43">
        <f>IF($J$1="January",U1244,IF($J$1="February",U1245,IF($J$1="March",U1246,IF($J$1="April",U1247,IF($J$1="May",U1248,IF($J$1="June",U1249,IF($J$1="July",U1250,IF($J$1="August",U1251,IF($J$1="August",U1251,IF($J$1="September",U1252,IF($J$1="October",U1253,IF($J$1="November",U1254,IF($J$1="December",U1255)))))))))))))</f>
        <v>0</v>
      </c>
      <c r="H1248" s="47"/>
      <c r="I1248" s="49">
        <v>18</v>
      </c>
      <c r="J1248" s="50" t="s">
        <v>63</v>
      </c>
      <c r="K1248" s="51">
        <f>K1244/$K$2*I1248</f>
        <v>17419.354838709678</v>
      </c>
      <c r="L1248" s="52"/>
      <c r="N1248" s="71"/>
      <c r="O1248" s="72" t="s">
        <v>50</v>
      </c>
      <c r="P1248" s="72"/>
      <c r="Q1248" s="72"/>
      <c r="R1248" s="72">
        <v>0</v>
      </c>
      <c r="S1248" s="63"/>
      <c r="T1248" s="72" t="s">
        <v>50</v>
      </c>
      <c r="U1248" s="109">
        <f>IF($J$1="April","",Y1247)</f>
        <v>0</v>
      </c>
      <c r="V1248" s="74"/>
      <c r="W1248" s="109">
        <f t="shared" si="254"/>
        <v>0</v>
      </c>
      <c r="X1248" s="74"/>
      <c r="Y1248" s="109">
        <f t="shared" si="255"/>
        <v>0</v>
      </c>
      <c r="Z1248" s="76"/>
    </row>
    <row r="1249" spans="1:26" s="29" customFormat="1" ht="21.4" customHeight="1" x14ac:dyDescent="0.2">
      <c r="A1249" s="30"/>
      <c r="B1249" s="39"/>
      <c r="C1249" s="39"/>
      <c r="F1249" s="48" t="s">
        <v>22</v>
      </c>
      <c r="G1249" s="43">
        <f>IF($J$1="January",V1244,IF($J$1="February",V1245,IF($J$1="March",V1246,IF($J$1="April",V1247,IF($J$1="May",V1248,IF($J$1="June",V1249,IF($J$1="July",V1250,IF($J$1="August",V1251,IF($J$1="August",V1251,IF($J$1="September",V1252,IF($J$1="October",V1253,IF($J$1="November",V1254,IF($J$1="December",V1255)))))))))))))</f>
        <v>30000</v>
      </c>
      <c r="H1249" s="47"/>
      <c r="I1249" s="84">
        <v>63</v>
      </c>
      <c r="J1249" s="50" t="s">
        <v>64</v>
      </c>
      <c r="K1249" s="53">
        <f>K1244/$K$2/8*I1249</f>
        <v>7620.9677419354839</v>
      </c>
      <c r="L1249" s="54"/>
      <c r="N1249" s="71"/>
      <c r="O1249" s="72" t="s">
        <v>51</v>
      </c>
      <c r="P1249" s="72"/>
      <c r="Q1249" s="72"/>
      <c r="R1249" s="72" t="str">
        <f t="shared" si="256"/>
        <v/>
      </c>
      <c r="S1249" s="63"/>
      <c r="T1249" s="72" t="s">
        <v>51</v>
      </c>
      <c r="U1249" s="109">
        <f>IF($J$1="May","",Y1248)</f>
        <v>0</v>
      </c>
      <c r="V1249" s="74"/>
      <c r="W1249" s="109">
        <f t="shared" si="254"/>
        <v>0</v>
      </c>
      <c r="X1249" s="74"/>
      <c r="Y1249" s="109">
        <f t="shared" si="255"/>
        <v>0</v>
      </c>
      <c r="Z1249" s="76"/>
    </row>
    <row r="1250" spans="1:26" s="29" customFormat="1" ht="21.4" customHeight="1" x14ac:dyDescent="0.2">
      <c r="A1250" s="30"/>
      <c r="B1250" s="48" t="s">
        <v>7</v>
      </c>
      <c r="C1250" s="39">
        <f>IF($J$1="January",P1244,IF($J$1="February",P1245,IF($J$1="March",P1246,IF($J$1="April",P1247,IF($J$1="May",P1248,IF($J$1="June",P1249,IF($J$1="July",P1250,IF($J$1="August",P1251,IF($J$1="August",P1251,IF($J$1="September",P1252,IF($J$1="October",P1253,IF($J$1="November",P1254,IF($J$1="December",P1255)))))))))))))</f>
        <v>0</v>
      </c>
      <c r="F1250" s="48" t="s">
        <v>67</v>
      </c>
      <c r="G1250" s="43">
        <f>IF($J$1="January",W1244,IF($J$1="February",W1245,IF($J$1="March",W1246,IF($J$1="April",W1247,IF($J$1="May",W1248,IF($J$1="June",W1249,IF($J$1="July",W1250,IF($J$1="August",W1251,IF($J$1="August",W1251,IF($J$1="September",W1252,IF($J$1="October",W1253,IF($J$1="November",W1254,IF($J$1="December",W1255)))))))))))))</f>
        <v>30000</v>
      </c>
      <c r="H1250" s="47"/>
      <c r="I1250" s="456" t="s">
        <v>71</v>
      </c>
      <c r="J1250" s="457"/>
      <c r="K1250" s="53">
        <f>K1248+K1249</f>
        <v>25040.322580645163</v>
      </c>
      <c r="L1250" s="54"/>
      <c r="N1250" s="71"/>
      <c r="O1250" s="72" t="s">
        <v>52</v>
      </c>
      <c r="P1250" s="72"/>
      <c r="Q1250" s="72"/>
      <c r="R1250" s="72" t="str">
        <f t="shared" si="256"/>
        <v/>
      </c>
      <c r="S1250" s="63"/>
      <c r="T1250" s="72" t="s">
        <v>52</v>
      </c>
      <c r="U1250" s="109">
        <f>IF($J$1="June","",Y1249)</f>
        <v>0</v>
      </c>
      <c r="V1250" s="74"/>
      <c r="W1250" s="109">
        <f t="shared" si="254"/>
        <v>0</v>
      </c>
      <c r="X1250" s="74"/>
      <c r="Y1250" s="109">
        <f t="shared" si="255"/>
        <v>0</v>
      </c>
      <c r="Z1250" s="76"/>
    </row>
    <row r="1251" spans="1:26" s="29" customFormat="1" ht="21.4" customHeight="1" x14ac:dyDescent="0.2">
      <c r="A1251" s="30"/>
      <c r="B1251" s="48" t="s">
        <v>6</v>
      </c>
      <c r="C1251" s="39">
        <f>IF($J$1="January",Q1244,IF($J$1="February",Q1245,IF($J$1="March",Q1246,IF($J$1="April",Q1247,IF($J$1="May",Q1248,IF($J$1="June",Q1249,IF($J$1="July",Q1250,IF($J$1="August",Q1251,IF($J$1="August",Q1251,IF($J$1="September",Q1252,IF($J$1="October",Q1253,IF($J$1="November",Q1254,IF($J$1="December",Q1255)))))))))))))</f>
        <v>0</v>
      </c>
      <c r="F1251" s="48" t="s">
        <v>23</v>
      </c>
      <c r="G1251" s="43">
        <f>IF($J$1="January",X1244,IF($J$1="February",X1245,IF($J$1="March",X1246,IF($J$1="April",X1247,IF($J$1="May",X1248,IF($J$1="June",X1249,IF($J$1="July",X1250,IF($J$1="August",X1251,IF($J$1="August",X1251,IF($J$1="September",X1252,IF($J$1="October",X1253,IF($J$1="November",X1254,IF($J$1="December",X1255)))))))))))))</f>
        <v>5000</v>
      </c>
      <c r="H1251" s="47"/>
      <c r="I1251" s="456" t="s">
        <v>72</v>
      </c>
      <c r="J1251" s="457"/>
      <c r="K1251" s="43">
        <f>G1251</f>
        <v>5000</v>
      </c>
      <c r="L1251" s="55"/>
      <c r="N1251" s="71"/>
      <c r="O1251" s="72" t="s">
        <v>53</v>
      </c>
      <c r="P1251" s="72"/>
      <c r="Q1251" s="72"/>
      <c r="R1251" s="72">
        <v>0</v>
      </c>
      <c r="S1251" s="63"/>
      <c r="T1251" s="72" t="s">
        <v>53</v>
      </c>
      <c r="U1251" s="109">
        <f>IF($J$1="July","",Y1250)</f>
        <v>0</v>
      </c>
      <c r="V1251" s="74"/>
      <c r="W1251" s="109">
        <f t="shared" si="254"/>
        <v>0</v>
      </c>
      <c r="X1251" s="74"/>
      <c r="Y1251" s="109">
        <f t="shared" si="255"/>
        <v>0</v>
      </c>
      <c r="Z1251" s="76"/>
    </row>
    <row r="1252" spans="1:26" s="29" customFormat="1" ht="21.4" customHeight="1" x14ac:dyDescent="0.2">
      <c r="A1252" s="30"/>
      <c r="B1252" s="56" t="s">
        <v>70</v>
      </c>
      <c r="C1252" s="39" t="str">
        <f>IF($J$1="January",R1244,IF($J$1="February",R1245,IF($J$1="March",R1246,IF($J$1="April",R1247,IF($J$1="May",R1248,IF($J$1="June",R1249,IF($J$1="July",R1250,IF($J$1="August",R1251,IF($J$1="August",R1251,IF($J$1="September",R1252,IF($J$1="October",R1253,IF($J$1="November",R1254,IF($J$1="December",R1255)))))))))))))</f>
        <v/>
      </c>
      <c r="F1252" s="48" t="s">
        <v>69</v>
      </c>
      <c r="G1252" s="43">
        <f>IF($J$1="January",Y1244,IF($J$1="February",Y1245,IF($J$1="March",Y1246,IF($J$1="April",Y1247,IF($J$1="May",Y1248,IF($J$1="June",Y1249,IF($J$1="July",Y1250,IF($J$1="August",Y1251,IF($J$1="August",Y1251,IF($J$1="September",Y1252,IF($J$1="October",Y1253,IF($J$1="November",Y1254,IF($J$1="December",Y1255)))))))))))))</f>
        <v>25000</v>
      </c>
      <c r="I1252" s="458" t="s">
        <v>65</v>
      </c>
      <c r="J1252" s="459"/>
      <c r="K1252" s="57">
        <f>K1250-K1251</f>
        <v>20040.322580645163</v>
      </c>
      <c r="L1252" s="58"/>
      <c r="N1252" s="71"/>
      <c r="O1252" s="72" t="s">
        <v>58</v>
      </c>
      <c r="P1252" s="72"/>
      <c r="Q1252" s="72"/>
      <c r="R1252" s="72" t="str">
        <f t="shared" si="256"/>
        <v/>
      </c>
      <c r="S1252" s="63"/>
      <c r="T1252" s="72" t="s">
        <v>58</v>
      </c>
      <c r="U1252" s="109">
        <f>IF($J$1="August","",Y1251)</f>
        <v>0</v>
      </c>
      <c r="V1252" s="74"/>
      <c r="W1252" s="109">
        <f t="shared" si="254"/>
        <v>0</v>
      </c>
      <c r="X1252" s="74"/>
      <c r="Y1252" s="109">
        <f t="shared" si="255"/>
        <v>0</v>
      </c>
      <c r="Z1252" s="76"/>
    </row>
    <row r="1253" spans="1:26" s="29" customFormat="1" ht="21.4" customHeight="1" x14ac:dyDescent="0.2">
      <c r="A1253" s="30"/>
      <c r="L1253" s="46"/>
      <c r="N1253" s="71"/>
      <c r="O1253" s="72" t="s">
        <v>54</v>
      </c>
      <c r="P1253" s="72"/>
      <c r="Q1253" s="72"/>
      <c r="R1253" s="72" t="str">
        <f t="shared" si="256"/>
        <v/>
      </c>
      <c r="S1253" s="63"/>
      <c r="T1253" s="72" t="s">
        <v>54</v>
      </c>
      <c r="U1253" s="109">
        <f>IF($J$1="September","",Y1252)</f>
        <v>0</v>
      </c>
      <c r="V1253" s="74">
        <v>30000</v>
      </c>
      <c r="W1253" s="109">
        <f t="shared" si="254"/>
        <v>30000</v>
      </c>
      <c r="X1253" s="74">
        <v>5000</v>
      </c>
      <c r="Y1253" s="109">
        <f t="shared" si="255"/>
        <v>25000</v>
      </c>
      <c r="Z1253" s="76"/>
    </row>
    <row r="1254" spans="1:26" s="29" customFormat="1" ht="21.4" customHeight="1" x14ac:dyDescent="0.2">
      <c r="A1254" s="30"/>
      <c r="B1254" s="455" t="s">
        <v>94</v>
      </c>
      <c r="C1254" s="455"/>
      <c r="D1254" s="455"/>
      <c r="E1254" s="455"/>
      <c r="F1254" s="455"/>
      <c r="G1254" s="455"/>
      <c r="H1254" s="455"/>
      <c r="I1254" s="455"/>
      <c r="J1254" s="455"/>
      <c r="K1254" s="455"/>
      <c r="L1254" s="46"/>
      <c r="N1254" s="71"/>
      <c r="O1254" s="72" t="s">
        <v>59</v>
      </c>
      <c r="P1254" s="72"/>
      <c r="Q1254" s="72"/>
      <c r="R1254" s="72">
        <v>0</v>
      </c>
      <c r="S1254" s="63"/>
      <c r="T1254" s="72" t="s">
        <v>59</v>
      </c>
      <c r="U1254" s="109" t="str">
        <f>IF($J$1="October","",Y1253)</f>
        <v/>
      </c>
      <c r="V1254" s="74"/>
      <c r="W1254" s="109" t="str">
        <f t="shared" si="254"/>
        <v/>
      </c>
      <c r="X1254" s="74"/>
      <c r="Y1254" s="109" t="str">
        <f t="shared" si="255"/>
        <v/>
      </c>
      <c r="Z1254" s="76"/>
    </row>
    <row r="1255" spans="1:26" s="29" customFormat="1" ht="21.4" customHeight="1" x14ac:dyDescent="0.2">
      <c r="A1255" s="30"/>
      <c r="B1255" s="455"/>
      <c r="C1255" s="455"/>
      <c r="D1255" s="455"/>
      <c r="E1255" s="455"/>
      <c r="F1255" s="455"/>
      <c r="G1255" s="455"/>
      <c r="H1255" s="455"/>
      <c r="I1255" s="455"/>
      <c r="J1255" s="455"/>
      <c r="K1255" s="455"/>
      <c r="L1255" s="46"/>
      <c r="N1255" s="71"/>
      <c r="O1255" s="72" t="s">
        <v>60</v>
      </c>
      <c r="P1255" s="72"/>
      <c r="Q1255" s="72"/>
      <c r="R1255" s="72" t="str">
        <f t="shared" si="256"/>
        <v/>
      </c>
      <c r="S1255" s="63"/>
      <c r="T1255" s="72" t="s">
        <v>60</v>
      </c>
      <c r="U1255" s="109" t="str">
        <f>IF($J$1="November","",Y1254)</f>
        <v/>
      </c>
      <c r="V1255" s="74"/>
      <c r="W1255" s="109" t="str">
        <f t="shared" si="254"/>
        <v/>
      </c>
      <c r="X1255" s="74"/>
      <c r="Y1255" s="109" t="str">
        <f t="shared" si="255"/>
        <v/>
      </c>
      <c r="Z1255" s="76"/>
    </row>
    <row r="1256" spans="1:26" s="29" customFormat="1" ht="21.4" customHeight="1" thickBot="1" x14ac:dyDescent="0.25">
      <c r="A1256" s="59"/>
      <c r="B1256" s="60"/>
      <c r="C1256" s="60"/>
      <c r="D1256" s="60"/>
      <c r="E1256" s="60"/>
      <c r="F1256" s="60"/>
      <c r="G1256" s="60"/>
      <c r="H1256" s="60"/>
      <c r="I1256" s="60"/>
      <c r="J1256" s="60"/>
      <c r="K1256" s="60"/>
      <c r="L1256" s="61"/>
      <c r="N1256" s="77"/>
      <c r="O1256" s="78"/>
      <c r="P1256" s="78"/>
      <c r="Q1256" s="78"/>
      <c r="R1256" s="78"/>
      <c r="S1256" s="78"/>
      <c r="T1256" s="78"/>
      <c r="U1256" s="78"/>
      <c r="V1256" s="78"/>
      <c r="W1256" s="78"/>
      <c r="X1256" s="78"/>
      <c r="Y1256" s="78"/>
      <c r="Z1256" s="79"/>
    </row>
    <row r="1257" spans="1:26" s="29" customFormat="1" ht="21.4" customHeight="1" thickBot="1" x14ac:dyDescent="0.25">
      <c r="N1257" s="63"/>
      <c r="O1257" s="63"/>
      <c r="P1257" s="63"/>
      <c r="Q1257" s="63"/>
      <c r="R1257" s="63"/>
      <c r="S1257" s="63"/>
      <c r="T1257" s="63"/>
      <c r="U1257" s="63"/>
      <c r="V1257" s="63"/>
      <c r="W1257" s="63"/>
      <c r="X1257" s="63"/>
      <c r="Y1257" s="63"/>
      <c r="Z1257" s="63"/>
    </row>
    <row r="1258" spans="1:26" s="29" customFormat="1" ht="21" customHeight="1" x14ac:dyDescent="0.2">
      <c r="A1258" s="463" t="s">
        <v>42</v>
      </c>
      <c r="B1258" s="464"/>
      <c r="C1258" s="464"/>
      <c r="D1258" s="464"/>
      <c r="E1258" s="464"/>
      <c r="F1258" s="464"/>
      <c r="G1258" s="464"/>
      <c r="H1258" s="464"/>
      <c r="I1258" s="464"/>
      <c r="J1258" s="464"/>
      <c r="K1258" s="464"/>
      <c r="L1258" s="465"/>
      <c r="M1258" s="28"/>
      <c r="N1258" s="64"/>
      <c r="O1258" s="469" t="s">
        <v>44</v>
      </c>
      <c r="P1258" s="470"/>
      <c r="Q1258" s="470"/>
      <c r="R1258" s="471"/>
      <c r="S1258" s="65"/>
      <c r="T1258" s="469" t="s">
        <v>45</v>
      </c>
      <c r="U1258" s="470"/>
      <c r="V1258" s="470"/>
      <c r="W1258" s="470"/>
      <c r="X1258" s="470"/>
      <c r="Y1258" s="471"/>
      <c r="Z1258" s="66"/>
    </row>
    <row r="1259" spans="1:26" s="29" customFormat="1" ht="21" customHeight="1" x14ac:dyDescent="0.2">
      <c r="A1259" s="30"/>
      <c r="C1259" s="466" t="s">
        <v>92</v>
      </c>
      <c r="D1259" s="466"/>
      <c r="E1259" s="466"/>
      <c r="F1259" s="466"/>
      <c r="G1259" s="31" t="str">
        <f>$J$1</f>
        <v>October</v>
      </c>
      <c r="H1259" s="467">
        <f>$K$1</f>
        <v>2022</v>
      </c>
      <c r="I1259" s="467"/>
      <c r="K1259" s="32"/>
      <c r="L1259" s="33"/>
      <c r="M1259" s="32"/>
      <c r="N1259" s="67"/>
      <c r="O1259" s="68" t="s">
        <v>55</v>
      </c>
      <c r="P1259" s="68" t="s">
        <v>7</v>
      </c>
      <c r="Q1259" s="68" t="s">
        <v>6</v>
      </c>
      <c r="R1259" s="68" t="s">
        <v>56</v>
      </c>
      <c r="S1259" s="69"/>
      <c r="T1259" s="68" t="s">
        <v>55</v>
      </c>
      <c r="U1259" s="68" t="s">
        <v>57</v>
      </c>
      <c r="V1259" s="68" t="s">
        <v>22</v>
      </c>
      <c r="W1259" s="68" t="s">
        <v>21</v>
      </c>
      <c r="X1259" s="68" t="s">
        <v>23</v>
      </c>
      <c r="Y1259" s="68" t="s">
        <v>61</v>
      </c>
      <c r="Z1259" s="70"/>
    </row>
    <row r="1260" spans="1:26" s="29" customFormat="1" ht="21" customHeight="1" x14ac:dyDescent="0.2">
      <c r="A1260" s="30"/>
      <c r="D1260" s="35"/>
      <c r="E1260" s="35"/>
      <c r="F1260" s="35"/>
      <c r="G1260" s="35"/>
      <c r="H1260" s="35"/>
      <c r="J1260" s="36" t="s">
        <v>1</v>
      </c>
      <c r="K1260" s="37">
        <v>40000</v>
      </c>
      <c r="L1260" s="38"/>
      <c r="N1260" s="71"/>
      <c r="O1260" s="72" t="s">
        <v>47</v>
      </c>
      <c r="P1260" s="72"/>
      <c r="Q1260" s="72"/>
      <c r="R1260" s="72">
        <v>0</v>
      </c>
      <c r="S1260" s="73"/>
      <c r="T1260" s="72" t="s">
        <v>47</v>
      </c>
      <c r="U1260" s="74"/>
      <c r="V1260" s="74"/>
      <c r="W1260" s="74">
        <f>V1260+U1260</f>
        <v>0</v>
      </c>
      <c r="X1260" s="74"/>
      <c r="Y1260" s="74">
        <f>W1260-X1260</f>
        <v>0</v>
      </c>
      <c r="Z1260" s="70"/>
    </row>
    <row r="1261" spans="1:26" s="29" customFormat="1" ht="21" customHeight="1" x14ac:dyDescent="0.2">
      <c r="A1261" s="30"/>
      <c r="B1261" s="29" t="s">
        <v>0</v>
      </c>
      <c r="C1261" s="40" t="s">
        <v>256</v>
      </c>
      <c r="H1261" s="41"/>
      <c r="I1261" s="35"/>
      <c r="L1261" s="42"/>
      <c r="M1261" s="28"/>
      <c r="N1261" s="75"/>
      <c r="O1261" s="72" t="s">
        <v>73</v>
      </c>
      <c r="P1261" s="72"/>
      <c r="Q1261" s="72"/>
      <c r="R1261" s="72">
        <v>0</v>
      </c>
      <c r="S1261" s="63"/>
      <c r="T1261" s="72" t="s">
        <v>73</v>
      </c>
      <c r="U1261" s="109">
        <f>IF($J$1="January","",Y1260)</f>
        <v>0</v>
      </c>
      <c r="V1261" s="74"/>
      <c r="W1261" s="109">
        <f>IF(U1261="","",U1261+V1261)</f>
        <v>0</v>
      </c>
      <c r="X1261" s="74"/>
      <c r="Y1261" s="109">
        <f>IF(W1261="","",W1261-X1261)</f>
        <v>0</v>
      </c>
      <c r="Z1261" s="76"/>
    </row>
    <row r="1262" spans="1:26" s="29" customFormat="1" ht="21" customHeight="1" x14ac:dyDescent="0.2">
      <c r="A1262" s="30"/>
      <c r="B1262" s="540"/>
      <c r="C1262" s="540"/>
      <c r="D1262" s="540"/>
      <c r="F1262" s="468" t="s">
        <v>45</v>
      </c>
      <c r="G1262" s="468"/>
      <c r="I1262" s="468" t="s">
        <v>46</v>
      </c>
      <c r="J1262" s="468"/>
      <c r="K1262" s="468"/>
      <c r="L1262" s="46"/>
      <c r="N1262" s="71"/>
      <c r="O1262" s="72" t="s">
        <v>48</v>
      </c>
      <c r="P1262" s="72"/>
      <c r="Q1262" s="72"/>
      <c r="R1262" s="72">
        <v>0</v>
      </c>
      <c r="S1262" s="63"/>
      <c r="T1262" s="72" t="s">
        <v>48</v>
      </c>
      <c r="U1262" s="109">
        <f>IF($J$1="February","",Y1261)</f>
        <v>0</v>
      </c>
      <c r="V1262" s="74"/>
      <c r="W1262" s="109">
        <f t="shared" ref="W1262:W1271" si="257">IF(U1262="","",U1262+V1262)</f>
        <v>0</v>
      </c>
      <c r="X1262" s="74"/>
      <c r="Y1262" s="109">
        <f t="shared" ref="Y1262:Y1271" si="258">IF(W1262="","",W1262-X1262)</f>
        <v>0</v>
      </c>
      <c r="Z1262" s="76"/>
    </row>
    <row r="1263" spans="1:26" s="29" customFormat="1" ht="21" customHeight="1" x14ac:dyDescent="0.2">
      <c r="A1263" s="30"/>
      <c r="H1263" s="47"/>
      <c r="L1263" s="34"/>
      <c r="N1263" s="71"/>
      <c r="O1263" s="72" t="s">
        <v>49</v>
      </c>
      <c r="P1263" s="72"/>
      <c r="Q1263" s="72"/>
      <c r="R1263" s="72">
        <v>0</v>
      </c>
      <c r="S1263" s="63"/>
      <c r="T1263" s="72" t="s">
        <v>49</v>
      </c>
      <c r="U1263" s="109">
        <f>IF($J$1="March","",Y1262)</f>
        <v>0</v>
      </c>
      <c r="V1263" s="74"/>
      <c r="W1263" s="109">
        <f t="shared" si="257"/>
        <v>0</v>
      </c>
      <c r="X1263" s="74"/>
      <c r="Y1263" s="109">
        <f t="shared" si="258"/>
        <v>0</v>
      </c>
      <c r="Z1263" s="76"/>
    </row>
    <row r="1264" spans="1:26" s="29" customFormat="1" ht="21" customHeight="1" x14ac:dyDescent="0.2">
      <c r="A1264" s="30"/>
      <c r="B1264" s="472" t="s">
        <v>44</v>
      </c>
      <c r="C1264" s="473"/>
      <c r="F1264" s="48" t="s">
        <v>66</v>
      </c>
      <c r="G1264" s="43">
        <f>IF($J$1="January",U1260,IF($J$1="February",U1261,IF($J$1="March",U1262,IF($J$1="April",U1263,IF($J$1="May",U1264,IF($J$1="June",U1265,IF($J$1="July",U1266,IF($J$1="August",U1267,IF($J$1="August",U1267,IF($J$1="September",U1268,IF($J$1="October",U1269,IF($J$1="November",U1270,IF($J$1="December",U1271)))))))))))))</f>
        <v>4000</v>
      </c>
      <c r="H1264" s="47"/>
      <c r="I1264" s="49">
        <f>IF(C1268&gt;0,$K$2,C1266)</f>
        <v>30</v>
      </c>
      <c r="J1264" s="50" t="s">
        <v>63</v>
      </c>
      <c r="K1264" s="51">
        <f>K1260/$K$2*I1264</f>
        <v>38709.677419354834</v>
      </c>
      <c r="L1264" s="52"/>
      <c r="N1264" s="71"/>
      <c r="O1264" s="72" t="s">
        <v>50</v>
      </c>
      <c r="P1264" s="72"/>
      <c r="Q1264" s="72"/>
      <c r="R1264" s="72">
        <v>0</v>
      </c>
      <c r="S1264" s="63"/>
      <c r="T1264" s="72" t="s">
        <v>50</v>
      </c>
      <c r="U1264" s="109">
        <f>IF($J$1="April","",Y1263)</f>
        <v>0</v>
      </c>
      <c r="V1264" s="74"/>
      <c r="W1264" s="109">
        <f t="shared" si="257"/>
        <v>0</v>
      </c>
      <c r="X1264" s="74"/>
      <c r="Y1264" s="109">
        <f t="shared" si="258"/>
        <v>0</v>
      </c>
      <c r="Z1264" s="76"/>
    </row>
    <row r="1265" spans="1:27" s="29" customFormat="1" ht="21" customHeight="1" x14ac:dyDescent="0.2">
      <c r="A1265" s="30"/>
      <c r="B1265" s="39"/>
      <c r="C1265" s="39"/>
      <c r="F1265" s="48" t="s">
        <v>22</v>
      </c>
      <c r="G1265" s="43">
        <f>IF($J$1="January",V1260,IF($J$1="February",V1261,IF($J$1="March",V1262,IF($J$1="April",V1263,IF($J$1="May",V1264,IF($J$1="June",V1265,IF($J$1="July",V1266,IF($J$1="August",V1267,IF($J$1="August",V1267,IF($J$1="September",V1268,IF($J$1="October",V1269,IF($J$1="November",V1270,IF($J$1="December",V1271)))))))))))))</f>
        <v>5000</v>
      </c>
      <c r="H1265" s="47"/>
      <c r="I1265" s="84">
        <v>11</v>
      </c>
      <c r="J1265" s="50" t="s">
        <v>64</v>
      </c>
      <c r="K1265" s="53">
        <f>K1260/$K$2/8*I1265</f>
        <v>1774.1935483870966</v>
      </c>
      <c r="L1265" s="54"/>
      <c r="N1265" s="71"/>
      <c r="O1265" s="72" t="s">
        <v>51</v>
      </c>
      <c r="P1265" s="72"/>
      <c r="Q1265" s="72"/>
      <c r="R1265" s="72" t="str">
        <f t="shared" ref="R1265:R1271" si="259">IF(Q1265="","",R1264-Q1265)</f>
        <v/>
      </c>
      <c r="S1265" s="63"/>
      <c r="T1265" s="72" t="s">
        <v>51</v>
      </c>
      <c r="U1265" s="109">
        <f>IF($J$1="May","",Y1264)</f>
        <v>0</v>
      </c>
      <c r="V1265" s="74"/>
      <c r="W1265" s="109">
        <f t="shared" si="257"/>
        <v>0</v>
      </c>
      <c r="X1265" s="74"/>
      <c r="Y1265" s="109">
        <f t="shared" si="258"/>
        <v>0</v>
      </c>
      <c r="Z1265" s="76"/>
    </row>
    <row r="1266" spans="1:27" s="29" customFormat="1" ht="21" customHeight="1" x14ac:dyDescent="0.2">
      <c r="A1266" s="30"/>
      <c r="B1266" s="48" t="s">
        <v>7</v>
      </c>
      <c r="C1266" s="39">
        <f>IF($J$1="January",P1260,IF($J$1="February",P1261,IF($J$1="March",P1262,IF($J$1="April",P1263,IF($J$1="May",P1264,IF($J$1="June",P1265,IF($J$1="July",P1266,IF($J$1="August",P1267,IF($J$1="August",P1267,IF($J$1="September",P1268,IF($J$1="October",P1269,IF($J$1="November",P1270,IF($J$1="December",P1271)))))))))))))</f>
        <v>30</v>
      </c>
      <c r="F1266" s="48" t="s">
        <v>67</v>
      </c>
      <c r="G1266" s="43">
        <f>IF($J$1="January",W1260,IF($J$1="February",W1261,IF($J$1="March",W1262,IF($J$1="April",W1263,IF($J$1="May",W1264,IF($J$1="June",W1265,IF($J$1="July",W1266,IF($J$1="August",W1267,IF($J$1="August",W1267,IF($J$1="September",W1268,IF($J$1="October",W1269,IF($J$1="November",W1270,IF($J$1="December",W1271)))))))))))))</f>
        <v>9000</v>
      </c>
      <c r="H1266" s="47"/>
      <c r="I1266" s="456" t="s">
        <v>71</v>
      </c>
      <c r="J1266" s="457"/>
      <c r="K1266" s="53">
        <f>K1264+K1265</f>
        <v>40483.870967741932</v>
      </c>
      <c r="L1266" s="54"/>
      <c r="N1266" s="71"/>
      <c r="O1266" s="72" t="s">
        <v>52</v>
      </c>
      <c r="P1266" s="72"/>
      <c r="Q1266" s="72"/>
      <c r="R1266" s="72"/>
      <c r="S1266" s="63"/>
      <c r="T1266" s="72" t="s">
        <v>52</v>
      </c>
      <c r="U1266" s="109">
        <f>IF($J$1="June","",Y1265)</f>
        <v>0</v>
      </c>
      <c r="V1266" s="74"/>
      <c r="W1266" s="109">
        <f t="shared" si="257"/>
        <v>0</v>
      </c>
      <c r="X1266" s="74"/>
      <c r="Y1266" s="109">
        <f t="shared" si="258"/>
        <v>0</v>
      </c>
      <c r="Z1266" s="76"/>
    </row>
    <row r="1267" spans="1:27" s="29" customFormat="1" ht="21" customHeight="1" x14ac:dyDescent="0.2">
      <c r="A1267" s="30"/>
      <c r="B1267" s="48" t="s">
        <v>6</v>
      </c>
      <c r="C1267" s="39">
        <f>IF($J$1="January",Q1260,IF($J$1="February",Q1261,IF($J$1="March",Q1262,IF($J$1="April",Q1263,IF($J$1="May",Q1264,IF($J$1="June",Q1265,IF($J$1="July",Q1266,IF($J$1="August",Q1267,IF($J$1="August",Q1267,IF($J$1="September",Q1268,IF($J$1="October",Q1269,IF($J$1="November",Q1270,IF($J$1="December",Q1271)))))))))))))</f>
        <v>1</v>
      </c>
      <c r="F1267" s="48" t="s">
        <v>23</v>
      </c>
      <c r="G1267" s="43">
        <f>IF($J$1="January",X1260,IF($J$1="February",X1261,IF($J$1="March",X1262,IF($J$1="April",X1263,IF($J$1="May",X1264,IF($J$1="June",X1265,IF($J$1="July",X1266,IF($J$1="August",X1267,IF($J$1="August",X1267,IF($J$1="September",X1268,IF($J$1="October",X1269,IF($J$1="November",X1270,IF($J$1="December",X1271)))))))))))))</f>
        <v>9000</v>
      </c>
      <c r="H1267" s="47"/>
      <c r="I1267" s="456" t="s">
        <v>72</v>
      </c>
      <c r="J1267" s="457"/>
      <c r="K1267" s="43">
        <f>G1267</f>
        <v>9000</v>
      </c>
      <c r="L1267" s="55"/>
      <c r="N1267" s="71"/>
      <c r="O1267" s="72" t="s">
        <v>53</v>
      </c>
      <c r="P1267" s="72">
        <v>11</v>
      </c>
      <c r="Q1267" s="72">
        <v>20</v>
      </c>
      <c r="R1267" s="72">
        <v>0</v>
      </c>
      <c r="S1267" s="63"/>
      <c r="T1267" s="72" t="s">
        <v>53</v>
      </c>
      <c r="U1267" s="109">
        <f>IF($J$1="July","",Y1266)</f>
        <v>0</v>
      </c>
      <c r="V1267" s="74">
        <v>8000</v>
      </c>
      <c r="W1267" s="109">
        <f t="shared" si="257"/>
        <v>8000</v>
      </c>
      <c r="X1267" s="74"/>
      <c r="Y1267" s="109">
        <f t="shared" si="258"/>
        <v>8000</v>
      </c>
      <c r="Z1267" s="76"/>
    </row>
    <row r="1268" spans="1:27" s="29" customFormat="1" ht="21" customHeight="1" x14ac:dyDescent="0.2">
      <c r="A1268" s="30"/>
      <c r="B1268" s="56" t="s">
        <v>70</v>
      </c>
      <c r="C1268" s="39">
        <f>IF($J$1="January",R1260,IF($J$1="February",R1261,IF($J$1="March",R1262,IF($J$1="April",R1263,IF($J$1="May",R1264,IF($J$1="June",R1265,IF($J$1="July",R1266,IF($J$1="August",R1267,IF($J$1="August",R1267,IF($J$1="September",R1268,IF($J$1="October",R1269,IF($J$1="November",R1270,IF($J$1="December",R1271)))))))))))))</f>
        <v>0</v>
      </c>
      <c r="F1268" s="48" t="s">
        <v>69</v>
      </c>
      <c r="G1268" s="43">
        <f>IF($J$1="January",Y1260,IF($J$1="February",Y1261,IF($J$1="March",Y1262,IF($J$1="April",Y1263,IF($J$1="May",Y1264,IF($J$1="June",Y1265,IF($J$1="July",Y1266,IF($J$1="August",Y1267,IF($J$1="August",Y1267,IF($J$1="September",Y1268,IF($J$1="October",Y1269,IF($J$1="November",Y1270,IF($J$1="December",Y1271)))))))))))))</f>
        <v>0</v>
      </c>
      <c r="I1268" s="458" t="s">
        <v>65</v>
      </c>
      <c r="J1268" s="459"/>
      <c r="K1268" s="57">
        <f>K1266-K1267</f>
        <v>31483.870967741932</v>
      </c>
      <c r="L1268" s="58"/>
      <c r="N1268" s="71"/>
      <c r="O1268" s="72" t="s">
        <v>58</v>
      </c>
      <c r="P1268" s="72">
        <v>30</v>
      </c>
      <c r="Q1268" s="72">
        <v>0</v>
      </c>
      <c r="R1268" s="72">
        <v>0</v>
      </c>
      <c r="S1268" s="63"/>
      <c r="T1268" s="72" t="s">
        <v>58</v>
      </c>
      <c r="U1268" s="109">
        <f>IF($J$1="August","",Y1267)</f>
        <v>8000</v>
      </c>
      <c r="V1268" s="74"/>
      <c r="W1268" s="109">
        <f t="shared" si="257"/>
        <v>8000</v>
      </c>
      <c r="X1268" s="74">
        <v>4000</v>
      </c>
      <c r="Y1268" s="109">
        <f t="shared" si="258"/>
        <v>4000</v>
      </c>
      <c r="Z1268" s="76"/>
    </row>
    <row r="1269" spans="1:27" s="29" customFormat="1" ht="21" customHeight="1" x14ac:dyDescent="0.2">
      <c r="A1269" s="30"/>
      <c r="L1269" s="46"/>
      <c r="N1269" s="71"/>
      <c r="O1269" s="72" t="s">
        <v>54</v>
      </c>
      <c r="P1269" s="72">
        <v>30</v>
      </c>
      <c r="Q1269" s="72">
        <v>1</v>
      </c>
      <c r="R1269" s="72">
        <v>0</v>
      </c>
      <c r="S1269" s="63"/>
      <c r="T1269" s="72" t="s">
        <v>54</v>
      </c>
      <c r="U1269" s="109">
        <f>IF($J$1="September","",Y1268)</f>
        <v>4000</v>
      </c>
      <c r="V1269" s="74">
        <v>5000</v>
      </c>
      <c r="W1269" s="109">
        <f t="shared" si="257"/>
        <v>9000</v>
      </c>
      <c r="X1269" s="74">
        <v>9000</v>
      </c>
      <c r="Y1269" s="109">
        <f t="shared" si="258"/>
        <v>0</v>
      </c>
      <c r="Z1269" s="76"/>
    </row>
    <row r="1270" spans="1:27" s="29" customFormat="1" ht="21" customHeight="1" x14ac:dyDescent="0.2">
      <c r="A1270" s="30"/>
      <c r="B1270" s="455" t="s">
        <v>94</v>
      </c>
      <c r="C1270" s="455"/>
      <c r="D1270" s="455"/>
      <c r="E1270" s="455"/>
      <c r="F1270" s="455"/>
      <c r="G1270" s="455"/>
      <c r="H1270" s="455"/>
      <c r="I1270" s="455"/>
      <c r="J1270" s="455"/>
      <c r="K1270" s="455"/>
      <c r="L1270" s="46"/>
      <c r="N1270" s="71"/>
      <c r="O1270" s="72" t="s">
        <v>59</v>
      </c>
      <c r="P1270" s="72"/>
      <c r="Q1270" s="72"/>
      <c r="R1270" s="72">
        <v>0</v>
      </c>
      <c r="S1270" s="63"/>
      <c r="T1270" s="72" t="s">
        <v>59</v>
      </c>
      <c r="U1270" s="109" t="str">
        <f>IF($J$1="October","",Y1269)</f>
        <v/>
      </c>
      <c r="V1270" s="74"/>
      <c r="W1270" s="109" t="str">
        <f t="shared" si="257"/>
        <v/>
      </c>
      <c r="X1270" s="74"/>
      <c r="Y1270" s="109" t="str">
        <f t="shared" si="258"/>
        <v/>
      </c>
      <c r="Z1270" s="76"/>
    </row>
    <row r="1271" spans="1:27" s="29" customFormat="1" ht="21" customHeight="1" x14ac:dyDescent="0.2">
      <c r="A1271" s="30"/>
      <c r="B1271" s="455"/>
      <c r="C1271" s="455"/>
      <c r="D1271" s="455"/>
      <c r="E1271" s="455"/>
      <c r="F1271" s="455"/>
      <c r="G1271" s="455"/>
      <c r="H1271" s="455"/>
      <c r="I1271" s="455"/>
      <c r="J1271" s="455"/>
      <c r="K1271" s="455"/>
      <c r="L1271" s="46"/>
      <c r="N1271" s="71"/>
      <c r="O1271" s="72" t="s">
        <v>60</v>
      </c>
      <c r="P1271" s="72"/>
      <c r="Q1271" s="72"/>
      <c r="R1271" s="72" t="str">
        <f t="shared" si="259"/>
        <v/>
      </c>
      <c r="S1271" s="63"/>
      <c r="T1271" s="72" t="s">
        <v>60</v>
      </c>
      <c r="U1271" s="109" t="str">
        <f>IF($J$1="November","",Y1270)</f>
        <v/>
      </c>
      <c r="V1271" s="74"/>
      <c r="W1271" s="109" t="str">
        <f t="shared" si="257"/>
        <v/>
      </c>
      <c r="X1271" s="74"/>
      <c r="Y1271" s="109" t="str">
        <f t="shared" si="258"/>
        <v/>
      </c>
      <c r="Z1271" s="76"/>
    </row>
    <row r="1272" spans="1:27" s="29" customFormat="1" ht="21" customHeight="1" thickBot="1" x14ac:dyDescent="0.25">
      <c r="A1272" s="30"/>
      <c r="L1272" s="46"/>
      <c r="N1272" s="77"/>
      <c r="O1272" s="78"/>
      <c r="P1272" s="78"/>
      <c r="Q1272" s="78"/>
      <c r="R1272" s="78"/>
      <c r="S1272" s="78"/>
      <c r="T1272" s="78"/>
      <c r="U1272" s="78"/>
      <c r="V1272" s="78"/>
      <c r="W1272" s="78"/>
      <c r="X1272" s="78"/>
      <c r="Y1272" s="78"/>
      <c r="Z1272" s="79"/>
    </row>
    <row r="1273" spans="1:27" s="29" customFormat="1" ht="21" customHeight="1" x14ac:dyDescent="0.2">
      <c r="A1273" s="100"/>
      <c r="B1273" s="100"/>
      <c r="C1273" s="100"/>
      <c r="D1273" s="100"/>
      <c r="E1273" s="100"/>
      <c r="F1273" s="100"/>
      <c r="G1273" s="100"/>
      <c r="H1273" s="100"/>
      <c r="I1273" s="100"/>
      <c r="J1273" s="100"/>
      <c r="K1273" s="100"/>
      <c r="L1273" s="100"/>
      <c r="N1273" s="71"/>
      <c r="O1273" s="63"/>
      <c r="P1273" s="63"/>
      <c r="Q1273" s="63"/>
      <c r="R1273" s="63"/>
      <c r="S1273" s="63"/>
      <c r="T1273" s="63"/>
      <c r="U1273" s="63"/>
      <c r="V1273" s="63"/>
      <c r="W1273" s="63"/>
      <c r="X1273" s="63"/>
      <c r="Y1273" s="63"/>
      <c r="Z1273" s="85"/>
    </row>
    <row r="1275" spans="1:27" s="29" customFormat="1" ht="21.4" customHeight="1" thickBot="1" x14ac:dyDescent="0.25">
      <c r="N1275" s="63"/>
      <c r="O1275" s="63"/>
      <c r="P1275" s="63"/>
      <c r="Q1275" s="63"/>
      <c r="R1275" s="63"/>
      <c r="S1275" s="63"/>
      <c r="T1275" s="63"/>
      <c r="U1275" s="63"/>
      <c r="V1275" s="63"/>
      <c r="W1275" s="63"/>
      <c r="X1275" s="63"/>
      <c r="Y1275" s="63"/>
      <c r="Z1275" s="63"/>
    </row>
    <row r="1276" spans="1:27" s="29" customFormat="1" ht="21.4" customHeight="1" x14ac:dyDescent="0.2">
      <c r="A1276" s="494" t="s">
        <v>42</v>
      </c>
      <c r="B1276" s="495"/>
      <c r="C1276" s="495"/>
      <c r="D1276" s="495"/>
      <c r="E1276" s="495"/>
      <c r="F1276" s="495"/>
      <c r="G1276" s="495"/>
      <c r="H1276" s="495"/>
      <c r="I1276" s="495"/>
      <c r="J1276" s="495"/>
      <c r="K1276" s="495"/>
      <c r="L1276" s="496"/>
      <c r="M1276" s="28"/>
      <c r="N1276" s="64"/>
      <c r="O1276" s="469" t="s">
        <v>44</v>
      </c>
      <c r="P1276" s="470"/>
      <c r="Q1276" s="470"/>
      <c r="R1276" s="471"/>
      <c r="S1276" s="65"/>
      <c r="T1276" s="469" t="s">
        <v>45</v>
      </c>
      <c r="U1276" s="470"/>
      <c r="V1276" s="470"/>
      <c r="W1276" s="470"/>
      <c r="X1276" s="470"/>
      <c r="Y1276" s="471"/>
      <c r="Z1276" s="66"/>
      <c r="AA1276" s="28"/>
    </row>
    <row r="1277" spans="1:27" s="29" customFormat="1" ht="21.4" customHeight="1" x14ac:dyDescent="0.2">
      <c r="A1277" s="30"/>
      <c r="C1277" s="466" t="s">
        <v>92</v>
      </c>
      <c r="D1277" s="466"/>
      <c r="E1277" s="466"/>
      <c r="F1277" s="466"/>
      <c r="G1277" s="31" t="str">
        <f>$J$1</f>
        <v>October</v>
      </c>
      <c r="H1277" s="467">
        <f>$K$1</f>
        <v>2022</v>
      </c>
      <c r="I1277" s="467"/>
      <c r="K1277" s="32"/>
      <c r="L1277" s="33"/>
      <c r="M1277" s="32"/>
      <c r="N1277" s="67"/>
      <c r="O1277" s="68" t="s">
        <v>55</v>
      </c>
      <c r="P1277" s="68" t="s">
        <v>7</v>
      </c>
      <c r="Q1277" s="68" t="s">
        <v>6</v>
      </c>
      <c r="R1277" s="68" t="s">
        <v>56</v>
      </c>
      <c r="S1277" s="69"/>
      <c r="T1277" s="68" t="s">
        <v>55</v>
      </c>
      <c r="U1277" s="68" t="s">
        <v>57</v>
      </c>
      <c r="V1277" s="68" t="s">
        <v>22</v>
      </c>
      <c r="W1277" s="68" t="s">
        <v>21</v>
      </c>
      <c r="X1277" s="68" t="s">
        <v>23</v>
      </c>
      <c r="Y1277" s="68" t="s">
        <v>61</v>
      </c>
      <c r="Z1277" s="70"/>
      <c r="AA1277" s="32"/>
    </row>
    <row r="1278" spans="1:27" s="29" customFormat="1" ht="21.4" customHeight="1" x14ac:dyDescent="0.2">
      <c r="A1278" s="30"/>
      <c r="D1278" s="35"/>
      <c r="E1278" s="35"/>
      <c r="F1278" s="35"/>
      <c r="G1278" s="35"/>
      <c r="H1278" s="35"/>
      <c r="J1278" s="36" t="s">
        <v>1</v>
      </c>
      <c r="K1278" s="37"/>
      <c r="L1278" s="38"/>
      <c r="N1278" s="71"/>
      <c r="O1278" s="72" t="s">
        <v>47</v>
      </c>
      <c r="P1278" s="72"/>
      <c r="Q1278" s="72"/>
      <c r="R1278" s="72">
        <v>15</v>
      </c>
      <c r="S1278" s="73"/>
      <c r="T1278" s="72" t="s">
        <v>47</v>
      </c>
      <c r="U1278" s="74"/>
      <c r="V1278" s="74"/>
      <c r="W1278" s="74">
        <f>V1278+U1278</f>
        <v>0</v>
      </c>
      <c r="X1278" s="74"/>
      <c r="Y1278" s="74">
        <f>W1278-X1278</f>
        <v>0</v>
      </c>
      <c r="Z1278" s="70"/>
    </row>
    <row r="1279" spans="1:27" s="29" customFormat="1" ht="21.4" customHeight="1" x14ac:dyDescent="0.2">
      <c r="A1279" s="30"/>
      <c r="B1279" s="29" t="s">
        <v>0</v>
      </c>
      <c r="C1279" s="40"/>
      <c r="H1279" s="41"/>
      <c r="I1279" s="35"/>
      <c r="L1279" s="42"/>
      <c r="M1279" s="28"/>
      <c r="N1279" s="75"/>
      <c r="O1279" s="72" t="s">
        <v>73</v>
      </c>
      <c r="P1279" s="72"/>
      <c r="Q1279" s="72"/>
      <c r="R1279" s="72" t="str">
        <f>IF(Q1279="","",R1278-Q1279)</f>
        <v/>
      </c>
      <c r="S1279" s="63"/>
      <c r="T1279" s="72" t="s">
        <v>73</v>
      </c>
      <c r="U1279" s="109">
        <f>Y1278</f>
        <v>0</v>
      </c>
      <c r="V1279" s="74"/>
      <c r="W1279" s="109">
        <f>IF(U1279="","",U1279+V1279)</f>
        <v>0</v>
      </c>
      <c r="X1279" s="74"/>
      <c r="Y1279" s="109">
        <f>IF(W1279="","",W1279-X1279)</f>
        <v>0</v>
      </c>
      <c r="Z1279" s="76"/>
      <c r="AA1279" s="28"/>
    </row>
    <row r="1280" spans="1:27" s="29" customFormat="1" ht="21.4" customHeight="1" x14ac:dyDescent="0.2">
      <c r="A1280" s="30"/>
      <c r="B1280" s="44" t="s">
        <v>43</v>
      </c>
      <c r="C1280" s="45"/>
      <c r="F1280" s="468" t="s">
        <v>45</v>
      </c>
      <c r="G1280" s="468"/>
      <c r="I1280" s="468" t="s">
        <v>46</v>
      </c>
      <c r="J1280" s="468"/>
      <c r="K1280" s="468"/>
      <c r="L1280" s="46"/>
      <c r="N1280" s="71"/>
      <c r="O1280" s="72" t="s">
        <v>48</v>
      </c>
      <c r="P1280" s="72"/>
      <c r="Q1280" s="72"/>
      <c r="R1280" s="72" t="str">
        <f t="shared" ref="R1280:R1289" si="260">IF(Q1280="","",R1279-Q1280)</f>
        <v/>
      </c>
      <c r="S1280" s="63"/>
      <c r="T1280" s="72" t="s">
        <v>48</v>
      </c>
      <c r="U1280" s="109">
        <f>IF($J$1="April",Y1279,Y1279)</f>
        <v>0</v>
      </c>
      <c r="V1280" s="74"/>
      <c r="W1280" s="109">
        <f t="shared" ref="W1280:W1289" si="261">IF(U1280="","",U1280+V1280)</f>
        <v>0</v>
      </c>
      <c r="X1280" s="74"/>
      <c r="Y1280" s="109">
        <f t="shared" ref="Y1280:Y1289" si="262">IF(W1280="","",W1280-X1280)</f>
        <v>0</v>
      </c>
      <c r="Z1280" s="76"/>
    </row>
    <row r="1281" spans="1:27" s="29" customFormat="1" ht="21.4" customHeight="1" x14ac:dyDescent="0.2">
      <c r="A1281" s="30"/>
      <c r="H1281" s="47"/>
      <c r="L1281" s="34"/>
      <c r="N1281" s="71"/>
      <c r="O1281" s="72" t="s">
        <v>49</v>
      </c>
      <c r="P1281" s="72"/>
      <c r="Q1281" s="72"/>
      <c r="R1281" s="72" t="str">
        <f t="shared" si="260"/>
        <v/>
      </c>
      <c r="S1281" s="63"/>
      <c r="T1281" s="72" t="s">
        <v>49</v>
      </c>
      <c r="U1281" s="109">
        <f>IF($J$1="April",Y1280,Y1280)</f>
        <v>0</v>
      </c>
      <c r="V1281" s="74"/>
      <c r="W1281" s="109">
        <f t="shared" si="261"/>
        <v>0</v>
      </c>
      <c r="X1281" s="74"/>
      <c r="Y1281" s="109">
        <f t="shared" si="262"/>
        <v>0</v>
      </c>
      <c r="Z1281" s="76"/>
    </row>
    <row r="1282" spans="1:27" s="29" customFormat="1" ht="21.4" customHeight="1" x14ac:dyDescent="0.2">
      <c r="A1282" s="30"/>
      <c r="B1282" s="472" t="s">
        <v>44</v>
      </c>
      <c r="C1282" s="473"/>
      <c r="F1282" s="48" t="s">
        <v>66</v>
      </c>
      <c r="G1282" s="43" t="str">
        <f>IF($J$1="January",U1278,IF($J$1="February",U1279,IF($J$1="March",U1280,IF($J$1="April",U1281,IF($J$1="May",U1282,IF($J$1="June",U1283,IF($J$1="July",U1284,IF($J$1="August",U1285,IF($J$1="August",U1285,IF($J$1="September",U1286,IF($J$1="October",U1287,IF($J$1="November",U1288,IF($J$1="December",U1289)))))))))))))</f>
        <v/>
      </c>
      <c r="H1282" s="47"/>
      <c r="I1282" s="49"/>
      <c r="J1282" s="50" t="s">
        <v>63</v>
      </c>
      <c r="K1282" s="51">
        <f>K1278/$K$2*I1282</f>
        <v>0</v>
      </c>
      <c r="L1282" s="52"/>
      <c r="N1282" s="71"/>
      <c r="O1282" s="72" t="s">
        <v>50</v>
      </c>
      <c r="P1282" s="72"/>
      <c r="Q1282" s="72"/>
      <c r="R1282" s="72" t="str">
        <f t="shared" si="260"/>
        <v/>
      </c>
      <c r="S1282" s="63"/>
      <c r="T1282" s="72" t="s">
        <v>50</v>
      </c>
      <c r="U1282" s="109">
        <f>IF($J$1="May",Y1281,Y1281)</f>
        <v>0</v>
      </c>
      <c r="V1282" s="74"/>
      <c r="W1282" s="109">
        <f t="shared" si="261"/>
        <v>0</v>
      </c>
      <c r="X1282" s="74"/>
      <c r="Y1282" s="109">
        <f t="shared" si="262"/>
        <v>0</v>
      </c>
      <c r="Z1282" s="76"/>
    </row>
    <row r="1283" spans="1:27" s="29" customFormat="1" ht="21.4" customHeight="1" x14ac:dyDescent="0.2">
      <c r="A1283" s="30"/>
      <c r="B1283" s="39"/>
      <c r="C1283" s="39"/>
      <c r="F1283" s="48" t="s">
        <v>22</v>
      </c>
      <c r="G1283" s="43">
        <f>IF($J$1="January",V1278,IF($J$1="February",V1279,IF($J$1="March",V1280,IF($J$1="April",V1281,IF($J$1="May",V1282,IF($J$1="June",V1283,IF($J$1="July",V1284,IF($J$1="August",V1285,IF($J$1="August",V1285,IF($J$1="September",V1286,IF($J$1="October",V1287,IF($J$1="November",V1288,IF($J$1="December",V1289)))))))))))))</f>
        <v>0</v>
      </c>
      <c r="H1283" s="47"/>
      <c r="I1283" s="49"/>
      <c r="J1283" s="50" t="s">
        <v>64</v>
      </c>
      <c r="K1283" s="53">
        <f>K1278/$K$2/8*I1283</f>
        <v>0</v>
      </c>
      <c r="L1283" s="54"/>
      <c r="N1283" s="71"/>
      <c r="O1283" s="72" t="s">
        <v>51</v>
      </c>
      <c r="P1283" s="72"/>
      <c r="Q1283" s="72"/>
      <c r="R1283" s="72" t="str">
        <f t="shared" si="260"/>
        <v/>
      </c>
      <c r="S1283" s="63"/>
      <c r="T1283" s="72" t="s">
        <v>51</v>
      </c>
      <c r="U1283" s="109">
        <f>IF($J$1="May",Y1282,Y1282)</f>
        <v>0</v>
      </c>
      <c r="V1283" s="74"/>
      <c r="W1283" s="109">
        <f t="shared" si="261"/>
        <v>0</v>
      </c>
      <c r="X1283" s="74"/>
      <c r="Y1283" s="109">
        <f t="shared" si="262"/>
        <v>0</v>
      </c>
      <c r="Z1283" s="76"/>
    </row>
    <row r="1284" spans="1:27" s="29" customFormat="1" ht="21.4" customHeight="1" x14ac:dyDescent="0.2">
      <c r="A1284" s="30"/>
      <c r="B1284" s="48" t="s">
        <v>7</v>
      </c>
      <c r="C1284" s="39">
        <f>IF($J$1="January",P1278,IF($J$1="February",P1279,IF($J$1="March",P1280,IF($J$1="April",P1281,IF($J$1="May",P1282,IF($J$1="June",P1283,IF($J$1="July",P1284,IF($J$1="August",P1285,IF($J$1="August",P1285,IF($J$1="September",P1286,IF($J$1="October",P1287,IF($J$1="November",P1288,IF($J$1="December",P1289)))))))))))))</f>
        <v>0</v>
      </c>
      <c r="F1284" s="48" t="s">
        <v>67</v>
      </c>
      <c r="G1284" s="43" t="str">
        <f>IF($J$1="January",W1278,IF($J$1="February",W1279,IF($J$1="March",W1280,IF($J$1="April",W1281,IF($J$1="May",W1282,IF($J$1="June",W1283,IF($J$1="July",W1284,IF($J$1="August",W1285,IF($J$1="August",W1285,IF($J$1="September",W1286,IF($J$1="October",W1287,IF($J$1="November",W1288,IF($J$1="December",W1289)))))))))))))</f>
        <v/>
      </c>
      <c r="H1284" s="47"/>
      <c r="I1284" s="456" t="s">
        <v>71</v>
      </c>
      <c r="J1284" s="457"/>
      <c r="K1284" s="53">
        <f>K1282+K1283</f>
        <v>0</v>
      </c>
      <c r="L1284" s="54"/>
      <c r="N1284" s="71"/>
      <c r="O1284" s="72" t="s">
        <v>52</v>
      </c>
      <c r="P1284" s="72"/>
      <c r="Q1284" s="72"/>
      <c r="R1284" s="72" t="str">
        <f t="shared" si="260"/>
        <v/>
      </c>
      <c r="S1284" s="63"/>
      <c r="T1284" s="72" t="s">
        <v>52</v>
      </c>
      <c r="U1284" s="109" t="str">
        <f>IF($J$1="September",Y1283,"")</f>
        <v/>
      </c>
      <c r="V1284" s="74"/>
      <c r="W1284" s="109" t="str">
        <f t="shared" si="261"/>
        <v/>
      </c>
      <c r="X1284" s="74"/>
      <c r="Y1284" s="109" t="str">
        <f t="shared" si="262"/>
        <v/>
      </c>
      <c r="Z1284" s="76"/>
    </row>
    <row r="1285" spans="1:27" s="29" customFormat="1" ht="21.4" customHeight="1" x14ac:dyDescent="0.2">
      <c r="A1285" s="30"/>
      <c r="B1285" s="48" t="s">
        <v>6</v>
      </c>
      <c r="C1285" s="39">
        <f>IF($J$1="January",Q1278,IF($J$1="February",Q1279,IF($J$1="March",Q1280,IF($J$1="April",Q1281,IF($J$1="May",Q1282,IF($J$1="June",Q1283,IF($J$1="July",Q1284,IF($J$1="August",Q1285,IF($J$1="August",Q1285,IF($J$1="September",Q1286,IF($J$1="October",Q1287,IF($J$1="November",Q1288,IF($J$1="December",Q1289)))))))))))))</f>
        <v>0</v>
      </c>
      <c r="F1285" s="48" t="s">
        <v>23</v>
      </c>
      <c r="G1285" s="43">
        <f>IF($J$1="January",X1278,IF($J$1="February",X1279,IF($J$1="March",X1280,IF($J$1="April",X1281,IF($J$1="May",X1282,IF($J$1="June",X1283,IF($J$1="July",X1284,IF($J$1="August",X1285,IF($J$1="August",X1285,IF($J$1="September",X1286,IF($J$1="October",X1287,IF($J$1="November",X1288,IF($J$1="December",X1289)))))))))))))</f>
        <v>0</v>
      </c>
      <c r="H1285" s="47"/>
      <c r="I1285" s="456" t="s">
        <v>72</v>
      </c>
      <c r="J1285" s="457"/>
      <c r="K1285" s="43">
        <f>G1285</f>
        <v>0</v>
      </c>
      <c r="L1285" s="55"/>
      <c r="N1285" s="71"/>
      <c r="O1285" s="72" t="s">
        <v>53</v>
      </c>
      <c r="P1285" s="72"/>
      <c r="Q1285" s="72"/>
      <c r="R1285" s="72" t="str">
        <f t="shared" si="260"/>
        <v/>
      </c>
      <c r="S1285" s="63"/>
      <c r="T1285" s="72" t="s">
        <v>53</v>
      </c>
      <c r="U1285" s="109" t="str">
        <f>IF($J$1="September",Y1284,"")</f>
        <v/>
      </c>
      <c r="V1285" s="74"/>
      <c r="W1285" s="109" t="str">
        <f t="shared" si="261"/>
        <v/>
      </c>
      <c r="X1285" s="74"/>
      <c r="Y1285" s="109" t="str">
        <f t="shared" si="262"/>
        <v/>
      </c>
      <c r="Z1285" s="76"/>
    </row>
    <row r="1286" spans="1:27" s="29" customFormat="1" ht="21.4" customHeight="1" x14ac:dyDescent="0.2">
      <c r="A1286" s="30"/>
      <c r="B1286" s="56" t="s">
        <v>70</v>
      </c>
      <c r="C1286" s="39" t="str">
        <f>IF($J$1="January",R1278,IF($J$1="February",R1279,IF($J$1="March",R1280,IF($J$1="April",R1281,IF($J$1="May",R1282,IF($J$1="June",R1283,IF($J$1="July",R1284,IF($J$1="August",R1285,IF($J$1="August",R1285,IF($J$1="September",R1286,IF($J$1="October",R1287,IF($J$1="November",R1288,IF($J$1="December",R1289)))))))))))))</f>
        <v/>
      </c>
      <c r="F1286" s="48" t="s">
        <v>69</v>
      </c>
      <c r="G1286" s="43" t="str">
        <f>IF($J$1="January",Y1278,IF($J$1="February",Y1279,IF($J$1="March",Y1280,IF($J$1="April",Y1281,IF($J$1="May",Y1282,IF($J$1="June",Y1283,IF($J$1="July",Y1284,IF($J$1="August",Y1285,IF($J$1="August",Y1285,IF($J$1="September",Y1286,IF($J$1="October",Y1287,IF($J$1="November",Y1288,IF($J$1="December",Y1289)))))))))))))</f>
        <v/>
      </c>
      <c r="I1286" s="458" t="s">
        <v>65</v>
      </c>
      <c r="J1286" s="459"/>
      <c r="K1286" s="57">
        <f>K1284-K1285</f>
        <v>0</v>
      </c>
      <c r="L1286" s="58"/>
      <c r="N1286" s="71"/>
      <c r="O1286" s="72" t="s">
        <v>58</v>
      </c>
      <c r="P1286" s="72"/>
      <c r="Q1286" s="72"/>
      <c r="R1286" s="72" t="str">
        <f t="shared" si="260"/>
        <v/>
      </c>
      <c r="S1286" s="63"/>
      <c r="T1286" s="72" t="s">
        <v>58</v>
      </c>
      <c r="U1286" s="109" t="str">
        <f>IF($J$1="Sept",Y1285,"")</f>
        <v/>
      </c>
      <c r="V1286" s="74"/>
      <c r="W1286" s="109" t="str">
        <f t="shared" si="261"/>
        <v/>
      </c>
      <c r="X1286" s="74"/>
      <c r="Y1286" s="109" t="str">
        <f t="shared" si="262"/>
        <v/>
      </c>
      <c r="Z1286" s="76"/>
    </row>
    <row r="1287" spans="1:27" s="29" customFormat="1" ht="21.4" customHeight="1" x14ac:dyDescent="0.2">
      <c r="A1287" s="30"/>
      <c r="L1287" s="46"/>
      <c r="N1287" s="71"/>
      <c r="O1287" s="72" t="s">
        <v>54</v>
      </c>
      <c r="P1287" s="72"/>
      <c r="Q1287" s="72"/>
      <c r="R1287" s="72" t="str">
        <f t="shared" si="260"/>
        <v/>
      </c>
      <c r="S1287" s="63"/>
      <c r="T1287" s="72" t="s">
        <v>54</v>
      </c>
      <c r="U1287" s="109" t="str">
        <f>IF($J$1="October",Y1286,"")</f>
        <v/>
      </c>
      <c r="V1287" s="74"/>
      <c r="W1287" s="109" t="str">
        <f t="shared" si="261"/>
        <v/>
      </c>
      <c r="X1287" s="74"/>
      <c r="Y1287" s="109" t="str">
        <f t="shared" si="262"/>
        <v/>
      </c>
      <c r="Z1287" s="76"/>
    </row>
    <row r="1288" spans="1:27" s="29" customFormat="1" ht="21.4" customHeight="1" x14ac:dyDescent="0.2">
      <c r="A1288" s="30"/>
      <c r="B1288" s="455" t="s">
        <v>94</v>
      </c>
      <c r="C1288" s="455"/>
      <c r="D1288" s="455"/>
      <c r="E1288" s="455"/>
      <c r="F1288" s="455"/>
      <c r="G1288" s="455"/>
      <c r="H1288" s="455"/>
      <c r="I1288" s="455"/>
      <c r="J1288" s="455"/>
      <c r="K1288" s="455"/>
      <c r="L1288" s="46"/>
      <c r="N1288" s="71"/>
      <c r="O1288" s="72" t="s">
        <v>59</v>
      </c>
      <c r="P1288" s="72"/>
      <c r="Q1288" s="72"/>
      <c r="R1288" s="72" t="str">
        <f t="shared" si="260"/>
        <v/>
      </c>
      <c r="S1288" s="63"/>
      <c r="T1288" s="72" t="s">
        <v>59</v>
      </c>
      <c r="U1288" s="109" t="str">
        <f>IF($J$1="November",Y1287,"")</f>
        <v/>
      </c>
      <c r="V1288" s="74"/>
      <c r="W1288" s="109" t="str">
        <f t="shared" si="261"/>
        <v/>
      </c>
      <c r="X1288" s="74"/>
      <c r="Y1288" s="109" t="str">
        <f t="shared" si="262"/>
        <v/>
      </c>
      <c r="Z1288" s="76"/>
    </row>
    <row r="1289" spans="1:27" s="29" customFormat="1" ht="21.4" customHeight="1" x14ac:dyDescent="0.2">
      <c r="A1289" s="30"/>
      <c r="B1289" s="455"/>
      <c r="C1289" s="455"/>
      <c r="D1289" s="455"/>
      <c r="E1289" s="455"/>
      <c r="F1289" s="455"/>
      <c r="G1289" s="455"/>
      <c r="H1289" s="455"/>
      <c r="I1289" s="455"/>
      <c r="J1289" s="455"/>
      <c r="K1289" s="455"/>
      <c r="L1289" s="46"/>
      <c r="N1289" s="71"/>
      <c r="O1289" s="72" t="s">
        <v>60</v>
      </c>
      <c r="P1289" s="72"/>
      <c r="Q1289" s="72"/>
      <c r="R1289" s="72" t="str">
        <f t="shared" si="260"/>
        <v/>
      </c>
      <c r="S1289" s="63"/>
      <c r="T1289" s="72" t="s">
        <v>60</v>
      </c>
      <c r="U1289" s="109" t="str">
        <f>IF($J$1="Dec",Y1288,"")</f>
        <v/>
      </c>
      <c r="V1289" s="74"/>
      <c r="W1289" s="109" t="str">
        <f t="shared" si="261"/>
        <v/>
      </c>
      <c r="X1289" s="74"/>
      <c r="Y1289" s="109" t="str">
        <f t="shared" si="262"/>
        <v/>
      </c>
      <c r="Z1289" s="76"/>
    </row>
    <row r="1290" spans="1:27" s="29" customFormat="1" ht="21.4" customHeight="1" thickBot="1" x14ac:dyDescent="0.25">
      <c r="A1290" s="59"/>
      <c r="B1290" s="60"/>
      <c r="C1290" s="60"/>
      <c r="D1290" s="60"/>
      <c r="E1290" s="60"/>
      <c r="F1290" s="60"/>
      <c r="G1290" s="60"/>
      <c r="H1290" s="60"/>
      <c r="I1290" s="60"/>
      <c r="J1290" s="60"/>
      <c r="K1290" s="60"/>
      <c r="L1290" s="61"/>
      <c r="N1290" s="77"/>
      <c r="O1290" s="78"/>
      <c r="P1290" s="78"/>
      <c r="Q1290" s="78"/>
      <c r="R1290" s="78"/>
      <c r="S1290" s="78"/>
      <c r="T1290" s="78"/>
      <c r="U1290" s="78"/>
      <c r="V1290" s="78"/>
      <c r="W1290" s="78"/>
      <c r="X1290" s="78"/>
      <c r="Y1290" s="78"/>
      <c r="Z1290" s="79"/>
    </row>
    <row r="1291" spans="1:27" s="29" customFormat="1" ht="21.4" customHeight="1" x14ac:dyDescent="0.2">
      <c r="N1291" s="63"/>
      <c r="O1291" s="63"/>
      <c r="P1291" s="63"/>
      <c r="Q1291" s="63"/>
      <c r="R1291" s="63"/>
      <c r="S1291" s="63"/>
      <c r="T1291" s="63"/>
      <c r="U1291" s="63"/>
      <c r="V1291" s="63"/>
      <c r="W1291" s="63"/>
      <c r="X1291" s="63"/>
      <c r="Y1291" s="63"/>
      <c r="Z1291" s="63"/>
    </row>
    <row r="1292" spans="1:27" s="29" customFormat="1" ht="21.4" customHeight="1" x14ac:dyDescent="0.2">
      <c r="N1292" s="63"/>
      <c r="O1292" s="63"/>
      <c r="P1292" s="63"/>
      <c r="Q1292" s="63"/>
      <c r="R1292" s="63"/>
      <c r="S1292" s="63"/>
      <c r="T1292" s="63"/>
      <c r="U1292" s="63"/>
      <c r="V1292" s="63"/>
      <c r="W1292" s="63"/>
      <c r="X1292" s="63"/>
      <c r="Y1292" s="63"/>
      <c r="Z1292" s="63"/>
    </row>
    <row r="1293" spans="1:27" s="29" customFormat="1" ht="21.4" customHeight="1" thickBot="1" x14ac:dyDescent="0.25">
      <c r="N1293" s="63"/>
      <c r="O1293" s="63"/>
      <c r="P1293" s="63"/>
      <c r="Q1293" s="63"/>
      <c r="R1293" s="63"/>
      <c r="S1293" s="63"/>
      <c r="T1293" s="63"/>
      <c r="U1293" s="63"/>
      <c r="V1293" s="63"/>
      <c r="W1293" s="63"/>
      <c r="X1293" s="63"/>
      <c r="Y1293" s="63"/>
      <c r="Z1293" s="63"/>
    </row>
    <row r="1294" spans="1:27" s="29" customFormat="1" ht="21.4" customHeight="1" x14ac:dyDescent="0.2">
      <c r="A1294" s="474" t="s">
        <v>42</v>
      </c>
      <c r="B1294" s="475"/>
      <c r="C1294" s="475"/>
      <c r="D1294" s="475"/>
      <c r="E1294" s="475"/>
      <c r="F1294" s="475"/>
      <c r="G1294" s="475"/>
      <c r="H1294" s="475"/>
      <c r="I1294" s="475"/>
      <c r="J1294" s="475"/>
      <c r="K1294" s="475"/>
      <c r="L1294" s="476"/>
      <c r="M1294" s="28"/>
      <c r="N1294" s="64"/>
      <c r="O1294" s="469" t="s">
        <v>44</v>
      </c>
      <c r="P1294" s="470"/>
      <c r="Q1294" s="470"/>
      <c r="R1294" s="471"/>
      <c r="S1294" s="65"/>
      <c r="T1294" s="469" t="s">
        <v>45</v>
      </c>
      <c r="U1294" s="470"/>
      <c r="V1294" s="470"/>
      <c r="W1294" s="470"/>
      <c r="X1294" s="470"/>
      <c r="Y1294" s="471"/>
      <c r="Z1294" s="66"/>
      <c r="AA1294" s="28"/>
    </row>
    <row r="1295" spans="1:27" s="29" customFormat="1" ht="21.4" customHeight="1" x14ac:dyDescent="0.2">
      <c r="A1295" s="30"/>
      <c r="C1295" s="466" t="s">
        <v>92</v>
      </c>
      <c r="D1295" s="466"/>
      <c r="E1295" s="466"/>
      <c r="F1295" s="466"/>
      <c r="G1295" s="31" t="str">
        <f>$J$1</f>
        <v>October</v>
      </c>
      <c r="H1295" s="467">
        <f>$K$1</f>
        <v>2022</v>
      </c>
      <c r="I1295" s="467"/>
      <c r="K1295" s="32"/>
      <c r="L1295" s="33"/>
      <c r="M1295" s="32"/>
      <c r="N1295" s="67"/>
      <c r="O1295" s="68" t="s">
        <v>55</v>
      </c>
      <c r="P1295" s="68" t="s">
        <v>7</v>
      </c>
      <c r="Q1295" s="68" t="s">
        <v>6</v>
      </c>
      <c r="R1295" s="68" t="s">
        <v>56</v>
      </c>
      <c r="S1295" s="69"/>
      <c r="T1295" s="68" t="s">
        <v>55</v>
      </c>
      <c r="U1295" s="68" t="s">
        <v>57</v>
      </c>
      <c r="V1295" s="68" t="s">
        <v>22</v>
      </c>
      <c r="W1295" s="68" t="s">
        <v>21</v>
      </c>
      <c r="X1295" s="68" t="s">
        <v>23</v>
      </c>
      <c r="Y1295" s="68" t="s">
        <v>61</v>
      </c>
      <c r="Z1295" s="70"/>
      <c r="AA1295" s="32"/>
    </row>
    <row r="1296" spans="1:27" s="29" customFormat="1" ht="21.4" customHeight="1" x14ac:dyDescent="0.2">
      <c r="A1296" s="30"/>
      <c r="D1296" s="35"/>
      <c r="E1296" s="35"/>
      <c r="F1296" s="35"/>
      <c r="G1296" s="35"/>
      <c r="H1296" s="35"/>
      <c r="J1296" s="36" t="s">
        <v>1</v>
      </c>
      <c r="K1296" s="37">
        <v>30000</v>
      </c>
      <c r="L1296" s="38"/>
      <c r="N1296" s="71"/>
      <c r="O1296" s="72" t="s">
        <v>47</v>
      </c>
      <c r="P1296" s="72">
        <v>29</v>
      </c>
      <c r="Q1296" s="72">
        <v>2</v>
      </c>
      <c r="R1296" s="72">
        <f>15-Q1296</f>
        <v>13</v>
      </c>
      <c r="S1296" s="73"/>
      <c r="T1296" s="72" t="s">
        <v>47</v>
      </c>
      <c r="U1296" s="74"/>
      <c r="V1296" s="74"/>
      <c r="W1296" s="74">
        <f>V1296+U1296</f>
        <v>0</v>
      </c>
      <c r="X1296" s="74"/>
      <c r="Y1296" s="74">
        <f>W1296-X1296</f>
        <v>0</v>
      </c>
      <c r="Z1296" s="70"/>
    </row>
    <row r="1297" spans="1:27" s="29" customFormat="1" ht="21.4" customHeight="1" x14ac:dyDescent="0.2">
      <c r="A1297" s="30"/>
      <c r="B1297" s="29" t="s">
        <v>0</v>
      </c>
      <c r="C1297" s="40"/>
      <c r="H1297" s="41"/>
      <c r="I1297" s="35"/>
      <c r="L1297" s="42"/>
      <c r="M1297" s="28"/>
      <c r="N1297" s="75"/>
      <c r="O1297" s="72" t="s">
        <v>73</v>
      </c>
      <c r="P1297" s="72">
        <v>28</v>
      </c>
      <c r="Q1297" s="72">
        <v>1</v>
      </c>
      <c r="R1297" s="72">
        <f>IF(Q1297="","",R1296-Q1297)</f>
        <v>12</v>
      </c>
      <c r="S1297" s="63"/>
      <c r="T1297" s="72" t="s">
        <v>73</v>
      </c>
      <c r="U1297" s="109">
        <f>IF($J$1="January","",Y1296)</f>
        <v>0</v>
      </c>
      <c r="V1297" s="74"/>
      <c r="W1297" s="109">
        <f>IF(U1297="","",U1297+V1297)</f>
        <v>0</v>
      </c>
      <c r="X1297" s="74"/>
      <c r="Y1297" s="109">
        <f>IF(W1297="","",W1297-X1297)</f>
        <v>0</v>
      </c>
      <c r="Z1297" s="76"/>
      <c r="AA1297" s="28"/>
    </row>
    <row r="1298" spans="1:27" s="29" customFormat="1" ht="21.4" customHeight="1" x14ac:dyDescent="0.2">
      <c r="A1298" s="30"/>
      <c r="B1298" s="44" t="s">
        <v>43</v>
      </c>
      <c r="C1298" s="45"/>
      <c r="F1298" s="468" t="s">
        <v>45</v>
      </c>
      <c r="G1298" s="468"/>
      <c r="I1298" s="468" t="s">
        <v>46</v>
      </c>
      <c r="J1298" s="468"/>
      <c r="K1298" s="468"/>
      <c r="L1298" s="46"/>
      <c r="N1298" s="71"/>
      <c r="O1298" s="72" t="s">
        <v>48</v>
      </c>
      <c r="P1298" s="72">
        <v>31</v>
      </c>
      <c r="Q1298" s="72">
        <v>0</v>
      </c>
      <c r="R1298" s="72">
        <f t="shared" ref="R1298" si="263">IF(Q1298="","",R1297-Q1298)</f>
        <v>12</v>
      </c>
      <c r="S1298" s="63"/>
      <c r="T1298" s="72" t="s">
        <v>48</v>
      </c>
      <c r="U1298" s="109">
        <f>IF($J$1="February","",Y1297)</f>
        <v>0</v>
      </c>
      <c r="V1298" s="74"/>
      <c r="W1298" s="109">
        <f t="shared" ref="W1298:W1307" si="264">IF(U1298="","",U1298+V1298)</f>
        <v>0</v>
      </c>
      <c r="X1298" s="74"/>
      <c r="Y1298" s="109">
        <f t="shared" ref="Y1298:Y1307" si="265">IF(W1298="","",W1298-X1298)</f>
        <v>0</v>
      </c>
      <c r="Z1298" s="76"/>
    </row>
    <row r="1299" spans="1:27" s="29" customFormat="1" ht="21.4" customHeight="1" x14ac:dyDescent="0.2">
      <c r="A1299" s="30"/>
      <c r="H1299" s="47"/>
      <c r="L1299" s="34"/>
      <c r="N1299" s="71"/>
      <c r="O1299" s="72" t="s">
        <v>49</v>
      </c>
      <c r="P1299" s="72">
        <v>14</v>
      </c>
      <c r="Q1299" s="72">
        <v>16</v>
      </c>
      <c r="R1299" s="72">
        <v>0</v>
      </c>
      <c r="S1299" s="63"/>
      <c r="T1299" s="72" t="s">
        <v>49</v>
      </c>
      <c r="U1299" s="109">
        <f>IF($J$1="March","",Y1298)</f>
        <v>0</v>
      </c>
      <c r="V1299" s="74"/>
      <c r="W1299" s="109">
        <f t="shared" si="264"/>
        <v>0</v>
      </c>
      <c r="X1299" s="74"/>
      <c r="Y1299" s="109">
        <f t="shared" si="265"/>
        <v>0</v>
      </c>
      <c r="Z1299" s="76"/>
    </row>
    <row r="1300" spans="1:27" s="29" customFormat="1" ht="21.4" customHeight="1" x14ac:dyDescent="0.2">
      <c r="A1300" s="30"/>
      <c r="B1300" s="472" t="s">
        <v>44</v>
      </c>
      <c r="C1300" s="473"/>
      <c r="F1300" s="48" t="s">
        <v>66</v>
      </c>
      <c r="G1300" s="116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7"/>
      <c r="I1300" s="49">
        <f>IF(C1304&gt;0,$K$2,C1302)</f>
        <v>0</v>
      </c>
      <c r="J1300" s="50" t="s">
        <v>63</v>
      </c>
      <c r="K1300" s="51">
        <f>K1296/$K$2*I1300</f>
        <v>0</v>
      </c>
      <c r="L1300" s="52"/>
      <c r="N1300" s="71"/>
      <c r="O1300" s="72" t="s">
        <v>50</v>
      </c>
      <c r="P1300" s="72">
        <v>28</v>
      </c>
      <c r="Q1300" s="72">
        <v>3</v>
      </c>
      <c r="R1300" s="72">
        <v>0</v>
      </c>
      <c r="S1300" s="63"/>
      <c r="T1300" s="72" t="s">
        <v>50</v>
      </c>
      <c r="U1300" s="109">
        <f>IF($J$1="April","",Y1299)</f>
        <v>0</v>
      </c>
      <c r="V1300" s="74"/>
      <c r="W1300" s="109">
        <f t="shared" si="264"/>
        <v>0</v>
      </c>
      <c r="X1300" s="74"/>
      <c r="Y1300" s="109">
        <f t="shared" si="265"/>
        <v>0</v>
      </c>
      <c r="Z1300" s="76"/>
    </row>
    <row r="1301" spans="1:27" s="29" customFormat="1" ht="21.4" customHeight="1" x14ac:dyDescent="0.2">
      <c r="A1301" s="30"/>
      <c r="B1301" s="39"/>
      <c r="C1301" s="39"/>
      <c r="F1301" s="48" t="s">
        <v>22</v>
      </c>
      <c r="G1301" s="116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7"/>
      <c r="I1301" s="84"/>
      <c r="J1301" s="50" t="s">
        <v>64</v>
      </c>
      <c r="K1301" s="53">
        <f>K1296/$K$2/8*I1301</f>
        <v>0</v>
      </c>
      <c r="L1301" s="54"/>
      <c r="N1301" s="71"/>
      <c r="O1301" s="72" t="s">
        <v>51</v>
      </c>
      <c r="P1301" s="72">
        <v>4</v>
      </c>
      <c r="Q1301" s="72">
        <v>26</v>
      </c>
      <c r="R1301" s="72">
        <v>0</v>
      </c>
      <c r="S1301" s="63"/>
      <c r="T1301" s="72" t="s">
        <v>51</v>
      </c>
      <c r="U1301" s="109">
        <f>IF($J$1="May","",Y1300)</f>
        <v>0</v>
      </c>
      <c r="V1301" s="74"/>
      <c r="W1301" s="109">
        <f t="shared" si="264"/>
        <v>0</v>
      </c>
      <c r="X1301" s="74"/>
      <c r="Y1301" s="109">
        <f t="shared" si="265"/>
        <v>0</v>
      </c>
      <c r="Z1301" s="76"/>
    </row>
    <row r="1302" spans="1:27" s="29" customFormat="1" ht="21.4" customHeight="1" x14ac:dyDescent="0.2">
      <c r="A1302" s="30"/>
      <c r="B1302" s="48" t="s">
        <v>7</v>
      </c>
      <c r="C1302" s="39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F1302" s="48" t="s">
        <v>67</v>
      </c>
      <c r="G1302" s="116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7"/>
      <c r="I1302" s="456" t="s">
        <v>71</v>
      </c>
      <c r="J1302" s="457"/>
      <c r="K1302" s="53">
        <f>K1300+K1301</f>
        <v>0</v>
      </c>
      <c r="L1302" s="54"/>
      <c r="N1302" s="71"/>
      <c r="O1302" s="72" t="s">
        <v>52</v>
      </c>
      <c r="P1302" s="72"/>
      <c r="Q1302" s="72"/>
      <c r="R1302" s="72">
        <v>0</v>
      </c>
      <c r="S1302" s="63"/>
      <c r="T1302" s="72" t="s">
        <v>52</v>
      </c>
      <c r="U1302" s="109">
        <f>IF($J$1="June","",Y1301)</f>
        <v>0</v>
      </c>
      <c r="V1302" s="74"/>
      <c r="W1302" s="109">
        <f t="shared" si="264"/>
        <v>0</v>
      </c>
      <c r="X1302" s="74"/>
      <c r="Y1302" s="109">
        <f t="shared" si="265"/>
        <v>0</v>
      </c>
      <c r="Z1302" s="76"/>
    </row>
    <row r="1303" spans="1:27" s="29" customFormat="1" ht="21.4" customHeight="1" x14ac:dyDescent="0.2">
      <c r="A1303" s="30"/>
      <c r="B1303" s="48" t="s">
        <v>6</v>
      </c>
      <c r="C1303" s="39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F1303" s="48" t="s">
        <v>23</v>
      </c>
      <c r="G1303" s="116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7"/>
      <c r="I1303" s="456" t="s">
        <v>72</v>
      </c>
      <c r="J1303" s="457"/>
      <c r="K1303" s="43">
        <f>G1303</f>
        <v>0</v>
      </c>
      <c r="L1303" s="55"/>
      <c r="N1303" s="71"/>
      <c r="O1303" s="72" t="s">
        <v>53</v>
      </c>
      <c r="P1303" s="72"/>
      <c r="Q1303" s="72"/>
      <c r="R1303" s="72">
        <v>0</v>
      </c>
      <c r="S1303" s="63"/>
      <c r="T1303" s="72" t="s">
        <v>53</v>
      </c>
      <c r="U1303" s="109">
        <f>IF($J$1="July","",Y1302)</f>
        <v>0</v>
      </c>
      <c r="V1303" s="74"/>
      <c r="W1303" s="109">
        <f t="shared" si="264"/>
        <v>0</v>
      </c>
      <c r="X1303" s="74"/>
      <c r="Y1303" s="109">
        <f t="shared" si="265"/>
        <v>0</v>
      </c>
      <c r="Z1303" s="76"/>
    </row>
    <row r="1304" spans="1:27" s="29" customFormat="1" ht="21.4" customHeight="1" x14ac:dyDescent="0.2">
      <c r="A1304" s="30"/>
      <c r="B1304" s="56" t="s">
        <v>70</v>
      </c>
      <c r="C1304" s="39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F1304" s="48" t="s">
        <v>69</v>
      </c>
      <c r="G1304" s="116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I1304" s="458" t="s">
        <v>65</v>
      </c>
      <c r="J1304" s="459"/>
      <c r="K1304" s="57"/>
      <c r="L1304" s="58"/>
      <c r="N1304" s="71"/>
      <c r="O1304" s="72" t="s">
        <v>58</v>
      </c>
      <c r="P1304" s="72"/>
      <c r="Q1304" s="72"/>
      <c r="R1304" s="72">
        <v>0</v>
      </c>
      <c r="S1304" s="63"/>
      <c r="T1304" s="72" t="s">
        <v>58</v>
      </c>
      <c r="U1304" s="109">
        <f>IF($J$1="August","",Y1303)</f>
        <v>0</v>
      </c>
      <c r="V1304" s="74"/>
      <c r="W1304" s="109">
        <f t="shared" si="264"/>
        <v>0</v>
      </c>
      <c r="X1304" s="74"/>
      <c r="Y1304" s="109">
        <f t="shared" si="265"/>
        <v>0</v>
      </c>
      <c r="Z1304" s="76"/>
    </row>
    <row r="1305" spans="1:27" s="29" customFormat="1" ht="21.4" customHeight="1" x14ac:dyDescent="0.2">
      <c r="A1305" s="30"/>
      <c r="J1305" s="113"/>
      <c r="K1305" s="113"/>
      <c r="L1305" s="46"/>
      <c r="N1305" s="71"/>
      <c r="O1305" s="72" t="s">
        <v>54</v>
      </c>
      <c r="P1305" s="72"/>
      <c r="Q1305" s="72"/>
      <c r="R1305" s="72">
        <v>0</v>
      </c>
      <c r="S1305" s="63"/>
      <c r="T1305" s="72" t="s">
        <v>54</v>
      </c>
      <c r="U1305" s="109">
        <f>IF($J$1="September","",Y1304)</f>
        <v>0</v>
      </c>
      <c r="V1305" s="74"/>
      <c r="W1305" s="109">
        <f t="shared" si="264"/>
        <v>0</v>
      </c>
      <c r="X1305" s="74"/>
      <c r="Y1305" s="109">
        <f t="shared" si="265"/>
        <v>0</v>
      </c>
      <c r="Z1305" s="76"/>
    </row>
    <row r="1306" spans="1:27" s="29" customFormat="1" ht="21.4" customHeight="1" x14ac:dyDescent="0.2">
      <c r="A1306" s="30"/>
      <c r="B1306" s="455" t="s">
        <v>94</v>
      </c>
      <c r="C1306" s="455"/>
      <c r="D1306" s="455"/>
      <c r="E1306" s="455"/>
      <c r="F1306" s="455"/>
      <c r="G1306" s="455"/>
      <c r="H1306" s="455"/>
      <c r="I1306" s="455"/>
      <c r="J1306" s="455"/>
      <c r="K1306" s="455"/>
      <c r="L1306" s="46"/>
      <c r="N1306" s="71"/>
      <c r="O1306" s="72" t="s">
        <v>59</v>
      </c>
      <c r="P1306" s="72"/>
      <c r="Q1306" s="72"/>
      <c r="R1306" s="72">
        <v>0</v>
      </c>
      <c r="S1306" s="63"/>
      <c r="T1306" s="72" t="s">
        <v>59</v>
      </c>
      <c r="U1306" s="109" t="str">
        <f>IF($J$1="October","",Y1305)</f>
        <v/>
      </c>
      <c r="V1306" s="74"/>
      <c r="W1306" s="109" t="str">
        <f t="shared" si="264"/>
        <v/>
      </c>
      <c r="X1306" s="74"/>
      <c r="Y1306" s="109" t="str">
        <f t="shared" si="265"/>
        <v/>
      </c>
      <c r="Z1306" s="76"/>
    </row>
    <row r="1307" spans="1:27" s="29" customFormat="1" ht="21.4" customHeight="1" x14ac:dyDescent="0.2">
      <c r="A1307" s="30"/>
      <c r="B1307" s="455"/>
      <c r="C1307" s="455"/>
      <c r="D1307" s="455"/>
      <c r="E1307" s="455"/>
      <c r="F1307" s="455"/>
      <c r="G1307" s="455"/>
      <c r="H1307" s="455"/>
      <c r="I1307" s="455"/>
      <c r="J1307" s="455"/>
      <c r="K1307" s="455"/>
      <c r="L1307" s="46"/>
      <c r="N1307" s="71"/>
      <c r="O1307" s="72" t="s">
        <v>60</v>
      </c>
      <c r="P1307" s="72"/>
      <c r="Q1307" s="72"/>
      <c r="R1307" s="72">
        <v>0</v>
      </c>
      <c r="S1307" s="63"/>
      <c r="T1307" s="72" t="s">
        <v>60</v>
      </c>
      <c r="U1307" s="109" t="str">
        <f>IF($J$1="November","",Y1306)</f>
        <v/>
      </c>
      <c r="V1307" s="74"/>
      <c r="W1307" s="109" t="str">
        <f t="shared" si="264"/>
        <v/>
      </c>
      <c r="X1307" s="74"/>
      <c r="Y1307" s="109" t="str">
        <f t="shared" si="265"/>
        <v/>
      </c>
      <c r="Z1307" s="76"/>
    </row>
    <row r="1308" spans="1:27" s="29" customFormat="1" ht="21.4" customHeight="1" thickBot="1" x14ac:dyDescent="0.25">
      <c r="A1308" s="59"/>
      <c r="B1308" s="60"/>
      <c r="C1308" s="60"/>
      <c r="D1308" s="60"/>
      <c r="E1308" s="60"/>
      <c r="F1308" s="60"/>
      <c r="G1308" s="60"/>
      <c r="H1308" s="60"/>
      <c r="I1308" s="60"/>
      <c r="J1308" s="60"/>
      <c r="K1308" s="60"/>
      <c r="L1308" s="61"/>
      <c r="N1308" s="77"/>
      <c r="O1308" s="78"/>
      <c r="P1308" s="78"/>
      <c r="Q1308" s="78"/>
      <c r="R1308" s="78"/>
      <c r="S1308" s="78"/>
      <c r="T1308" s="78"/>
      <c r="U1308" s="78"/>
      <c r="V1308" s="78"/>
      <c r="W1308" s="78"/>
      <c r="X1308" s="78"/>
      <c r="Y1308" s="78"/>
      <c r="Z1308" s="79"/>
    </row>
    <row r="1309" spans="1:27" s="29" customFormat="1" ht="21.4" customHeight="1" thickBot="1" x14ac:dyDescent="0.25">
      <c r="N1309" s="63"/>
      <c r="O1309" s="63"/>
      <c r="P1309" s="63"/>
      <c r="Q1309" s="63"/>
      <c r="R1309" s="63"/>
      <c r="S1309" s="63"/>
      <c r="T1309" s="63"/>
      <c r="U1309" s="63"/>
      <c r="V1309" s="63"/>
      <c r="W1309" s="63"/>
      <c r="X1309" s="63"/>
      <c r="Y1309" s="63"/>
      <c r="Z1309" s="63"/>
    </row>
    <row r="1310" spans="1:27" s="29" customFormat="1" ht="21.4" customHeight="1" x14ac:dyDescent="0.2">
      <c r="A1310" s="500" t="s">
        <v>42</v>
      </c>
      <c r="B1310" s="501"/>
      <c r="C1310" s="501"/>
      <c r="D1310" s="501"/>
      <c r="E1310" s="501"/>
      <c r="F1310" s="501"/>
      <c r="G1310" s="501"/>
      <c r="H1310" s="501"/>
      <c r="I1310" s="501"/>
      <c r="J1310" s="501"/>
      <c r="K1310" s="501"/>
      <c r="L1310" s="502"/>
      <c r="M1310" s="28"/>
      <c r="N1310" s="64"/>
      <c r="O1310" s="469" t="s">
        <v>44</v>
      </c>
      <c r="P1310" s="470"/>
      <c r="Q1310" s="470"/>
      <c r="R1310" s="471"/>
      <c r="S1310" s="65"/>
      <c r="T1310" s="469" t="s">
        <v>45</v>
      </c>
      <c r="U1310" s="470"/>
      <c r="V1310" s="470"/>
      <c r="W1310" s="470"/>
      <c r="X1310" s="470"/>
      <c r="Y1310" s="471"/>
      <c r="Z1310" s="66"/>
      <c r="AA1310" s="28"/>
    </row>
    <row r="1311" spans="1:27" s="29" customFormat="1" ht="21.4" customHeight="1" x14ac:dyDescent="0.2">
      <c r="A1311" s="30"/>
      <c r="C1311" s="466" t="s">
        <v>92</v>
      </c>
      <c r="D1311" s="466"/>
      <c r="E1311" s="466"/>
      <c r="F1311" s="466"/>
      <c r="G1311" s="31" t="str">
        <f>$J$1</f>
        <v>October</v>
      </c>
      <c r="H1311" s="467">
        <f>$K$1</f>
        <v>2022</v>
      </c>
      <c r="I1311" s="467"/>
      <c r="K1311" s="32"/>
      <c r="L1311" s="33"/>
      <c r="M1311" s="32"/>
      <c r="N1311" s="67"/>
      <c r="O1311" s="68" t="s">
        <v>55</v>
      </c>
      <c r="P1311" s="68" t="s">
        <v>7</v>
      </c>
      <c r="Q1311" s="68" t="s">
        <v>6</v>
      </c>
      <c r="R1311" s="68" t="s">
        <v>56</v>
      </c>
      <c r="S1311" s="69"/>
      <c r="T1311" s="68" t="s">
        <v>55</v>
      </c>
      <c r="U1311" s="68" t="s">
        <v>57</v>
      </c>
      <c r="V1311" s="68" t="s">
        <v>22</v>
      </c>
      <c r="W1311" s="68" t="s">
        <v>21</v>
      </c>
      <c r="X1311" s="68" t="s">
        <v>23</v>
      </c>
      <c r="Y1311" s="68" t="s">
        <v>61</v>
      </c>
      <c r="Z1311" s="70"/>
      <c r="AA1311" s="32"/>
    </row>
    <row r="1312" spans="1:27" s="29" customFormat="1" ht="21.4" customHeight="1" x14ac:dyDescent="0.2">
      <c r="A1312" s="30"/>
      <c r="D1312" s="35"/>
      <c r="E1312" s="35"/>
      <c r="F1312" s="35"/>
      <c r="G1312" s="35"/>
      <c r="H1312" s="35"/>
      <c r="J1312" s="36" t="s">
        <v>1</v>
      </c>
      <c r="K1312" s="37"/>
      <c r="L1312" s="38"/>
      <c r="N1312" s="71"/>
      <c r="O1312" s="72" t="s">
        <v>47</v>
      </c>
      <c r="P1312" s="72"/>
      <c r="Q1312" s="72"/>
      <c r="R1312" s="72">
        <f>15-Q1312</f>
        <v>15</v>
      </c>
      <c r="S1312" s="73"/>
      <c r="T1312" s="72" t="s">
        <v>47</v>
      </c>
      <c r="U1312" s="74"/>
      <c r="V1312" s="74"/>
      <c r="W1312" s="74">
        <f>V1312+U1312</f>
        <v>0</v>
      </c>
      <c r="X1312" s="74"/>
      <c r="Y1312" s="74">
        <f>W1312-X1312</f>
        <v>0</v>
      </c>
      <c r="Z1312" s="70"/>
    </row>
    <row r="1313" spans="1:27" s="29" customFormat="1" ht="21.4" customHeight="1" x14ac:dyDescent="0.2">
      <c r="A1313" s="30"/>
      <c r="B1313" s="29" t="s">
        <v>0</v>
      </c>
      <c r="C1313" s="40"/>
      <c r="H1313" s="41"/>
      <c r="I1313" s="35"/>
      <c r="L1313" s="42"/>
      <c r="M1313" s="28"/>
      <c r="N1313" s="75"/>
      <c r="O1313" s="72" t="s">
        <v>73</v>
      </c>
      <c r="P1313" s="72"/>
      <c r="Q1313" s="72"/>
      <c r="R1313" s="72" t="str">
        <f>IF(Q1313="","",R1312-Q1313)</f>
        <v/>
      </c>
      <c r="S1313" s="63"/>
      <c r="T1313" s="72" t="s">
        <v>73</v>
      </c>
      <c r="U1313" s="109">
        <f>Y1312</f>
        <v>0</v>
      </c>
      <c r="V1313" s="74"/>
      <c r="W1313" s="109">
        <f>IF(U1313="","",U1313+V1313)</f>
        <v>0</v>
      </c>
      <c r="X1313" s="74"/>
      <c r="Y1313" s="109">
        <f>IF(W1313="","",W1313-X1313)</f>
        <v>0</v>
      </c>
      <c r="Z1313" s="76"/>
      <c r="AA1313" s="28"/>
    </row>
    <row r="1314" spans="1:27" s="29" customFormat="1" ht="21.4" customHeight="1" x14ac:dyDescent="0.2">
      <c r="A1314" s="30"/>
      <c r="B1314" s="44" t="s">
        <v>43</v>
      </c>
      <c r="C1314" s="62"/>
      <c r="F1314" s="468" t="s">
        <v>45</v>
      </c>
      <c r="G1314" s="468"/>
      <c r="I1314" s="468" t="s">
        <v>46</v>
      </c>
      <c r="J1314" s="468"/>
      <c r="K1314" s="468"/>
      <c r="L1314" s="46"/>
      <c r="N1314" s="71"/>
      <c r="O1314" s="72" t="s">
        <v>48</v>
      </c>
      <c r="P1314" s="72"/>
      <c r="Q1314" s="72"/>
      <c r="R1314" s="72" t="str">
        <f t="shared" ref="R1314:R1323" si="266">IF(Q1314="","",R1313-Q1314)</f>
        <v/>
      </c>
      <c r="S1314" s="63"/>
      <c r="T1314" s="72" t="s">
        <v>48</v>
      </c>
      <c r="U1314" s="109">
        <f>IF($J$1="April",Y1313,Y1313)</f>
        <v>0</v>
      </c>
      <c r="V1314" s="74"/>
      <c r="W1314" s="109">
        <f t="shared" ref="W1314:W1323" si="267">IF(U1314="","",U1314+V1314)</f>
        <v>0</v>
      </c>
      <c r="X1314" s="74"/>
      <c r="Y1314" s="109">
        <f t="shared" ref="Y1314:Y1323" si="268">IF(W1314="","",W1314-X1314)</f>
        <v>0</v>
      </c>
      <c r="Z1314" s="76"/>
    </row>
    <row r="1315" spans="1:27" s="29" customFormat="1" ht="21.4" customHeight="1" x14ac:dyDescent="0.2">
      <c r="A1315" s="30"/>
      <c r="H1315" s="47"/>
      <c r="L1315" s="34"/>
      <c r="N1315" s="71"/>
      <c r="O1315" s="72" t="s">
        <v>49</v>
      </c>
      <c r="P1315" s="72"/>
      <c r="Q1315" s="72"/>
      <c r="R1315" s="72" t="str">
        <f t="shared" si="266"/>
        <v/>
      </c>
      <c r="S1315" s="63"/>
      <c r="T1315" s="72" t="s">
        <v>49</v>
      </c>
      <c r="U1315" s="109">
        <f>IF($J$1="April",Y1314,Y1314)</f>
        <v>0</v>
      </c>
      <c r="V1315" s="74"/>
      <c r="W1315" s="109">
        <f t="shared" si="267"/>
        <v>0</v>
      </c>
      <c r="X1315" s="74"/>
      <c r="Y1315" s="109">
        <f t="shared" si="268"/>
        <v>0</v>
      </c>
      <c r="Z1315" s="76"/>
    </row>
    <row r="1316" spans="1:27" s="29" customFormat="1" ht="21.4" customHeight="1" x14ac:dyDescent="0.2">
      <c r="A1316" s="30"/>
      <c r="B1316" s="472" t="s">
        <v>44</v>
      </c>
      <c r="C1316" s="473"/>
      <c r="F1316" s="48" t="s">
        <v>66</v>
      </c>
      <c r="G1316" s="43" t="str">
        <f>IF($J$1="January",U1312,IF($J$1="February",U1313,IF($J$1="March",U1314,IF($J$1="April",U1315,IF($J$1="May",U1316,IF($J$1="June",U1317,IF($J$1="July",U1318,IF($J$1="August",U1319,IF($J$1="August",U1319,IF($J$1="September",U1320,IF($J$1="October",U1321,IF($J$1="November",U1322,IF($J$1="December",U1323)))))))))))))</f>
        <v/>
      </c>
      <c r="H1316" s="47"/>
      <c r="I1316" s="49"/>
      <c r="J1316" s="50" t="s">
        <v>63</v>
      </c>
      <c r="K1316" s="51">
        <f>K1312/$K$2*I1316</f>
        <v>0</v>
      </c>
      <c r="L1316" s="52"/>
      <c r="N1316" s="71"/>
      <c r="O1316" s="72" t="s">
        <v>50</v>
      </c>
      <c r="P1316" s="72"/>
      <c r="Q1316" s="72"/>
      <c r="R1316" s="72" t="str">
        <f t="shared" si="266"/>
        <v/>
      </c>
      <c r="S1316" s="63"/>
      <c r="T1316" s="72" t="s">
        <v>50</v>
      </c>
      <c r="U1316" s="109">
        <f>IF($J$1="May",Y1315,Y1315)</f>
        <v>0</v>
      </c>
      <c r="V1316" s="74"/>
      <c r="W1316" s="109">
        <f t="shared" si="267"/>
        <v>0</v>
      </c>
      <c r="X1316" s="74"/>
      <c r="Y1316" s="109">
        <f t="shared" si="268"/>
        <v>0</v>
      </c>
      <c r="Z1316" s="76"/>
    </row>
    <row r="1317" spans="1:27" s="29" customFormat="1" ht="21.4" customHeight="1" x14ac:dyDescent="0.2">
      <c r="A1317" s="30"/>
      <c r="B1317" s="39"/>
      <c r="C1317" s="39"/>
      <c r="F1317" s="48" t="s">
        <v>22</v>
      </c>
      <c r="G1317" s="43">
        <f>IF($J$1="January",V1312,IF($J$1="February",V1313,IF($J$1="March",V1314,IF($J$1="April",V1315,IF($J$1="May",V1316,IF($J$1="June",V1317,IF($J$1="July",V1318,IF($J$1="August",V1319,IF($J$1="August",V1319,IF($J$1="September",V1320,IF($J$1="October",V1321,IF($J$1="November",V1322,IF($J$1="December",V1323)))))))))))))</f>
        <v>0</v>
      </c>
      <c r="H1317" s="47"/>
      <c r="I1317" s="49"/>
      <c r="J1317" s="50" t="s">
        <v>64</v>
      </c>
      <c r="K1317" s="53"/>
      <c r="L1317" s="54"/>
      <c r="N1317" s="71"/>
      <c r="O1317" s="72" t="s">
        <v>51</v>
      </c>
      <c r="P1317" s="72"/>
      <c r="Q1317" s="72"/>
      <c r="R1317" s="72" t="str">
        <f t="shared" si="266"/>
        <v/>
      </c>
      <c r="S1317" s="63"/>
      <c r="T1317" s="72" t="s">
        <v>51</v>
      </c>
      <c r="U1317" s="109">
        <f>IF($J$1="May",Y1316,Y1316)</f>
        <v>0</v>
      </c>
      <c r="V1317" s="74"/>
      <c r="W1317" s="109">
        <f t="shared" si="267"/>
        <v>0</v>
      </c>
      <c r="X1317" s="74"/>
      <c r="Y1317" s="109">
        <f t="shared" si="268"/>
        <v>0</v>
      </c>
      <c r="Z1317" s="76"/>
    </row>
    <row r="1318" spans="1:27" s="29" customFormat="1" ht="21.4" customHeight="1" x14ac:dyDescent="0.2">
      <c r="A1318" s="30"/>
      <c r="B1318" s="48" t="s">
        <v>7</v>
      </c>
      <c r="C1318" s="39">
        <f>IF($J$1="January",P1312,IF($J$1="February",P1313,IF($J$1="March",P1314,IF($J$1="April",P1315,IF($J$1="May",P1316,IF($J$1="June",P1317,IF($J$1="July",P1318,IF($J$1="August",P1319,IF($J$1="August",P1319,IF($J$1="September",P1320,IF($J$1="October",P1321,IF($J$1="November",P1322,IF($J$1="December",P1323)))))))))))))</f>
        <v>0</v>
      </c>
      <c r="F1318" s="48" t="s">
        <v>67</v>
      </c>
      <c r="G1318" s="43" t="str">
        <f>IF($J$1="January",W1312,IF($J$1="February",W1313,IF($J$1="March",W1314,IF($J$1="April",W1315,IF($J$1="May",W1316,IF($J$1="June",W1317,IF($J$1="July",W1318,IF($J$1="August",W1319,IF($J$1="August",W1319,IF($J$1="September",W1320,IF($J$1="October",W1321,IF($J$1="November",W1322,IF($J$1="December",W1323)))))))))))))</f>
        <v/>
      </c>
      <c r="H1318" s="47"/>
      <c r="I1318" s="456" t="s">
        <v>71</v>
      </c>
      <c r="J1318" s="457"/>
      <c r="K1318" s="53">
        <f>K1316+K1317</f>
        <v>0</v>
      </c>
      <c r="L1318" s="54"/>
      <c r="N1318" s="71"/>
      <c r="O1318" s="72" t="s">
        <v>52</v>
      </c>
      <c r="P1318" s="72"/>
      <c r="Q1318" s="72"/>
      <c r="R1318" s="72" t="str">
        <f t="shared" si="266"/>
        <v/>
      </c>
      <c r="S1318" s="63"/>
      <c r="T1318" s="72" t="s">
        <v>52</v>
      </c>
      <c r="U1318" s="109">
        <f>IF($J$1="May",Y1317,Y1317)</f>
        <v>0</v>
      </c>
      <c r="V1318" s="74"/>
      <c r="W1318" s="109">
        <f t="shared" si="267"/>
        <v>0</v>
      </c>
      <c r="X1318" s="74"/>
      <c r="Y1318" s="109">
        <f t="shared" si="268"/>
        <v>0</v>
      </c>
      <c r="Z1318" s="76"/>
    </row>
    <row r="1319" spans="1:27" s="29" customFormat="1" ht="21.4" customHeight="1" x14ac:dyDescent="0.2">
      <c r="A1319" s="30"/>
      <c r="B1319" s="48" t="s">
        <v>6</v>
      </c>
      <c r="C1319" s="39">
        <f>IF($J$1="January",Q1312,IF($J$1="February",Q1313,IF($J$1="March",Q1314,IF($J$1="April",Q1315,IF($J$1="May",Q1316,IF($J$1="June",Q1317,IF($J$1="July",Q1318,IF($J$1="August",Q1319,IF($J$1="August",Q1319,IF($J$1="September",Q1320,IF($J$1="October",Q1321,IF($J$1="November",Q1322,IF($J$1="December",Q1323)))))))))))))</f>
        <v>0</v>
      </c>
      <c r="F1319" s="48" t="s">
        <v>23</v>
      </c>
      <c r="G1319" s="43">
        <f>IF($J$1="January",X1312,IF($J$1="February",X1313,IF($J$1="March",X1314,IF($J$1="April",X1315,IF($J$1="May",X1316,IF($J$1="June",X1317,IF($J$1="July",X1318,IF($J$1="August",X1319,IF($J$1="August",X1319,IF($J$1="September",X1320,IF($J$1="October",X1321,IF($J$1="November",X1322,IF($J$1="December",X1323)))))))))))))</f>
        <v>0</v>
      </c>
      <c r="H1319" s="47"/>
      <c r="I1319" s="456" t="s">
        <v>72</v>
      </c>
      <c r="J1319" s="457"/>
      <c r="K1319" s="43">
        <f>G1319</f>
        <v>0</v>
      </c>
      <c r="L1319" s="55"/>
      <c r="N1319" s="71"/>
      <c r="O1319" s="72" t="s">
        <v>53</v>
      </c>
      <c r="P1319" s="72"/>
      <c r="Q1319" s="72"/>
      <c r="R1319" s="72" t="str">
        <f t="shared" si="266"/>
        <v/>
      </c>
      <c r="S1319" s="63"/>
      <c r="T1319" s="72" t="s">
        <v>53</v>
      </c>
      <c r="U1319" s="109" t="str">
        <f>IF($J$1="September",Y1318,"")</f>
        <v/>
      </c>
      <c r="V1319" s="74"/>
      <c r="W1319" s="109" t="str">
        <f t="shared" si="267"/>
        <v/>
      </c>
      <c r="X1319" s="74"/>
      <c r="Y1319" s="109" t="str">
        <f t="shared" si="268"/>
        <v/>
      </c>
      <c r="Z1319" s="76"/>
    </row>
    <row r="1320" spans="1:27" s="29" customFormat="1" ht="21.4" customHeight="1" x14ac:dyDescent="0.2">
      <c r="A1320" s="30"/>
      <c r="B1320" s="56" t="s">
        <v>70</v>
      </c>
      <c r="C1320" s="39" t="str">
        <f>IF($J$1="January",R1312,IF($J$1="February",R1313,IF($J$1="March",R1314,IF($J$1="April",R1315,IF($J$1="May",R1316,IF($J$1="June",R1317,IF($J$1="July",R1318,IF($J$1="August",R1319,IF($J$1="August",R1319,IF($J$1="September",R1320,IF($J$1="October",R1321,IF($J$1="November",R1322,IF($J$1="December",R1323)))))))))))))</f>
        <v/>
      </c>
      <c r="F1320" s="48" t="s">
        <v>69</v>
      </c>
      <c r="G1320" s="43" t="str">
        <f>IF($J$1="January",Y1312,IF($J$1="February",Y1313,IF($J$1="March",Y1314,IF($J$1="April",Y1315,IF($J$1="May",Y1316,IF($J$1="June",Y1317,IF($J$1="July",Y1318,IF($J$1="August",Y1319,IF($J$1="August",Y1319,IF($J$1="September",Y1320,IF($J$1="October",Y1321,IF($J$1="November",Y1322,IF($J$1="December",Y1323)))))))))))))</f>
        <v/>
      </c>
      <c r="I1320" s="458" t="s">
        <v>65</v>
      </c>
      <c r="J1320" s="459"/>
      <c r="K1320" s="57">
        <f>K1318-K1319</f>
        <v>0</v>
      </c>
      <c r="L1320" s="58"/>
      <c r="N1320" s="71"/>
      <c r="O1320" s="72" t="s">
        <v>58</v>
      </c>
      <c r="P1320" s="72"/>
      <c r="Q1320" s="72"/>
      <c r="R1320" s="72" t="str">
        <f t="shared" si="266"/>
        <v/>
      </c>
      <c r="S1320" s="63"/>
      <c r="T1320" s="72" t="s">
        <v>58</v>
      </c>
      <c r="U1320" s="109" t="str">
        <f>IF($J$1="September",Y1319,"")</f>
        <v/>
      </c>
      <c r="V1320" s="74"/>
      <c r="W1320" s="109" t="str">
        <f t="shared" si="267"/>
        <v/>
      </c>
      <c r="X1320" s="74"/>
      <c r="Y1320" s="109" t="str">
        <f t="shared" si="268"/>
        <v/>
      </c>
      <c r="Z1320" s="76"/>
    </row>
    <row r="1321" spans="1:27" s="29" customFormat="1" ht="21.4" customHeight="1" x14ac:dyDescent="0.2">
      <c r="A1321" s="30"/>
      <c r="L1321" s="46"/>
      <c r="N1321" s="71"/>
      <c r="O1321" s="72" t="s">
        <v>54</v>
      </c>
      <c r="P1321" s="72"/>
      <c r="Q1321" s="72"/>
      <c r="R1321" s="72" t="str">
        <f t="shared" si="266"/>
        <v/>
      </c>
      <c r="S1321" s="63"/>
      <c r="T1321" s="72" t="s">
        <v>54</v>
      </c>
      <c r="U1321" s="109" t="str">
        <f>IF($J$1="October",Y1320,"")</f>
        <v/>
      </c>
      <c r="V1321" s="74"/>
      <c r="W1321" s="109" t="str">
        <f t="shared" si="267"/>
        <v/>
      </c>
      <c r="X1321" s="74"/>
      <c r="Y1321" s="109" t="str">
        <f t="shared" si="268"/>
        <v/>
      </c>
      <c r="Z1321" s="76"/>
    </row>
    <row r="1322" spans="1:27" s="29" customFormat="1" ht="21.4" customHeight="1" x14ac:dyDescent="0.2">
      <c r="A1322" s="30"/>
      <c r="B1322" s="455" t="s">
        <v>94</v>
      </c>
      <c r="C1322" s="455"/>
      <c r="D1322" s="455"/>
      <c r="E1322" s="455"/>
      <c r="F1322" s="455"/>
      <c r="G1322" s="455"/>
      <c r="H1322" s="455"/>
      <c r="I1322" s="455"/>
      <c r="J1322" s="455"/>
      <c r="K1322" s="455"/>
      <c r="L1322" s="46"/>
      <c r="N1322" s="71"/>
      <c r="O1322" s="72" t="s">
        <v>59</v>
      </c>
      <c r="P1322" s="72"/>
      <c r="Q1322" s="72"/>
      <c r="R1322" s="72" t="str">
        <f t="shared" si="266"/>
        <v/>
      </c>
      <c r="S1322" s="63"/>
      <c r="T1322" s="72" t="s">
        <v>59</v>
      </c>
      <c r="U1322" s="109" t="str">
        <f>IF($J$1="November",Y1321,"")</f>
        <v/>
      </c>
      <c r="V1322" s="74"/>
      <c r="W1322" s="109" t="str">
        <f t="shared" si="267"/>
        <v/>
      </c>
      <c r="X1322" s="74"/>
      <c r="Y1322" s="109" t="str">
        <f t="shared" si="268"/>
        <v/>
      </c>
      <c r="Z1322" s="76"/>
    </row>
    <row r="1323" spans="1:27" s="29" customFormat="1" ht="21.4" customHeight="1" x14ac:dyDescent="0.2">
      <c r="A1323" s="30"/>
      <c r="B1323" s="455"/>
      <c r="C1323" s="455"/>
      <c r="D1323" s="455"/>
      <c r="E1323" s="455"/>
      <c r="F1323" s="455"/>
      <c r="G1323" s="455"/>
      <c r="H1323" s="455"/>
      <c r="I1323" s="455"/>
      <c r="J1323" s="455"/>
      <c r="K1323" s="455"/>
      <c r="L1323" s="46"/>
      <c r="N1323" s="71"/>
      <c r="O1323" s="72" t="s">
        <v>60</v>
      </c>
      <c r="P1323" s="72"/>
      <c r="Q1323" s="72"/>
      <c r="R1323" s="72" t="str">
        <f t="shared" si="266"/>
        <v/>
      </c>
      <c r="S1323" s="63"/>
      <c r="T1323" s="72" t="s">
        <v>60</v>
      </c>
      <c r="U1323" s="109" t="str">
        <f>IF($J$1="Dec",Y1322,"")</f>
        <v/>
      </c>
      <c r="V1323" s="74"/>
      <c r="W1323" s="109" t="str">
        <f t="shared" si="267"/>
        <v/>
      </c>
      <c r="X1323" s="74"/>
      <c r="Y1323" s="109" t="str">
        <f t="shared" si="268"/>
        <v/>
      </c>
      <c r="Z1323" s="76"/>
    </row>
    <row r="1324" spans="1:27" s="29" customFormat="1" ht="21.4" customHeight="1" thickBot="1" x14ac:dyDescent="0.25">
      <c r="A1324" s="59"/>
      <c r="B1324" s="60"/>
      <c r="C1324" s="60"/>
      <c r="D1324" s="60"/>
      <c r="E1324" s="60"/>
      <c r="F1324" s="60"/>
      <c r="G1324" s="60"/>
      <c r="H1324" s="60"/>
      <c r="I1324" s="60"/>
      <c r="J1324" s="60"/>
      <c r="K1324" s="60"/>
      <c r="L1324" s="61"/>
      <c r="N1324" s="77"/>
      <c r="O1324" s="78"/>
      <c r="P1324" s="78"/>
      <c r="Q1324" s="78"/>
      <c r="R1324" s="78"/>
      <c r="S1324" s="78"/>
      <c r="T1324" s="78"/>
      <c r="U1324" s="78"/>
      <c r="V1324" s="78"/>
      <c r="W1324" s="78"/>
      <c r="X1324" s="78"/>
      <c r="Y1324" s="78"/>
      <c r="Z1324" s="79"/>
    </row>
    <row r="1325" spans="1:27" s="29" customFormat="1" ht="21.4" customHeight="1" thickBot="1" x14ac:dyDescent="0.25">
      <c r="N1325" s="63"/>
      <c r="O1325" s="63"/>
      <c r="P1325" s="63"/>
      <c r="Q1325" s="63"/>
      <c r="R1325" s="63"/>
      <c r="S1325" s="63"/>
      <c r="T1325" s="63"/>
      <c r="U1325" s="63"/>
      <c r="V1325" s="63"/>
      <c r="W1325" s="63"/>
      <c r="X1325" s="63"/>
      <c r="Y1325" s="63"/>
      <c r="Z1325" s="63"/>
    </row>
    <row r="1326" spans="1:27" s="29" customFormat="1" ht="21.4" customHeight="1" x14ac:dyDescent="0.2">
      <c r="A1326" s="463" t="s">
        <v>42</v>
      </c>
      <c r="B1326" s="464"/>
      <c r="C1326" s="464"/>
      <c r="D1326" s="464"/>
      <c r="E1326" s="464"/>
      <c r="F1326" s="464"/>
      <c r="G1326" s="464"/>
      <c r="H1326" s="464"/>
      <c r="I1326" s="464"/>
      <c r="J1326" s="464"/>
      <c r="K1326" s="464"/>
      <c r="L1326" s="465"/>
      <c r="M1326" s="28"/>
      <c r="N1326" s="64"/>
      <c r="O1326" s="469" t="s">
        <v>44</v>
      </c>
      <c r="P1326" s="470"/>
      <c r="Q1326" s="470"/>
      <c r="R1326" s="471"/>
      <c r="S1326" s="65"/>
      <c r="T1326" s="469" t="s">
        <v>45</v>
      </c>
      <c r="U1326" s="470"/>
      <c r="V1326" s="470"/>
      <c r="W1326" s="470"/>
      <c r="X1326" s="470"/>
      <c r="Y1326" s="471"/>
      <c r="Z1326" s="66"/>
      <c r="AA1326" s="28"/>
    </row>
    <row r="1327" spans="1:27" s="29" customFormat="1" ht="21.4" customHeight="1" x14ac:dyDescent="0.2">
      <c r="A1327" s="30"/>
      <c r="C1327" s="466" t="s">
        <v>92</v>
      </c>
      <c r="D1327" s="466"/>
      <c r="E1327" s="466"/>
      <c r="F1327" s="466"/>
      <c r="G1327" s="31" t="str">
        <f>$J$1</f>
        <v>October</v>
      </c>
      <c r="H1327" s="467">
        <f>$K$1</f>
        <v>2022</v>
      </c>
      <c r="I1327" s="467"/>
      <c r="K1327" s="32"/>
      <c r="L1327" s="33"/>
      <c r="M1327" s="32"/>
      <c r="N1327" s="67"/>
      <c r="O1327" s="68" t="s">
        <v>55</v>
      </c>
      <c r="P1327" s="68" t="s">
        <v>7</v>
      </c>
      <c r="Q1327" s="68" t="s">
        <v>6</v>
      </c>
      <c r="R1327" s="68" t="s">
        <v>56</v>
      </c>
      <c r="S1327" s="69"/>
      <c r="T1327" s="68" t="s">
        <v>55</v>
      </c>
      <c r="U1327" s="68" t="s">
        <v>57</v>
      </c>
      <c r="V1327" s="68" t="s">
        <v>22</v>
      </c>
      <c r="W1327" s="68" t="s">
        <v>21</v>
      </c>
      <c r="X1327" s="68" t="s">
        <v>23</v>
      </c>
      <c r="Y1327" s="68" t="s">
        <v>61</v>
      </c>
      <c r="Z1327" s="70"/>
      <c r="AA1327" s="32"/>
    </row>
    <row r="1328" spans="1:27" s="29" customFormat="1" ht="21.4" customHeight="1" x14ac:dyDescent="0.2">
      <c r="A1328" s="30"/>
      <c r="D1328" s="35"/>
      <c r="E1328" s="35"/>
      <c r="F1328" s="35"/>
      <c r="G1328" s="35"/>
      <c r="H1328" s="35"/>
      <c r="J1328" s="36" t="s">
        <v>1</v>
      </c>
      <c r="K1328" s="37"/>
      <c r="L1328" s="38"/>
      <c r="N1328" s="71"/>
      <c r="O1328" s="72" t="s">
        <v>47</v>
      </c>
      <c r="P1328" s="72"/>
      <c r="Q1328" s="72"/>
      <c r="R1328" s="72">
        <v>0</v>
      </c>
      <c r="S1328" s="73"/>
      <c r="T1328" s="72" t="s">
        <v>47</v>
      </c>
      <c r="U1328" s="74"/>
      <c r="V1328" s="74"/>
      <c r="W1328" s="74">
        <f>V1328+U1328</f>
        <v>0</v>
      </c>
      <c r="X1328" s="74"/>
      <c r="Y1328" s="74">
        <f>W1328-X1328</f>
        <v>0</v>
      </c>
      <c r="Z1328" s="70"/>
    </row>
    <row r="1329" spans="1:27" s="29" customFormat="1" ht="21.4" customHeight="1" x14ac:dyDescent="0.2">
      <c r="A1329" s="30"/>
      <c r="B1329" s="29" t="s">
        <v>0</v>
      </c>
      <c r="C1329" s="40"/>
      <c r="H1329" s="41"/>
      <c r="I1329" s="35"/>
      <c r="L1329" s="42"/>
      <c r="M1329" s="28"/>
      <c r="N1329" s="75"/>
      <c r="O1329" s="72" t="s">
        <v>73</v>
      </c>
      <c r="P1329" s="72"/>
      <c r="Q1329" s="72"/>
      <c r="R1329" s="72" t="str">
        <f>IF(Q1329="","",R1328-Q1329)</f>
        <v/>
      </c>
      <c r="S1329" s="63"/>
      <c r="T1329" s="72" t="s">
        <v>73</v>
      </c>
      <c r="U1329" s="109">
        <f>IF($J$1="January","",Y1328)</f>
        <v>0</v>
      </c>
      <c r="V1329" s="74"/>
      <c r="W1329" s="109">
        <f>IF(U1329="","",U1329+V1329)</f>
        <v>0</v>
      </c>
      <c r="X1329" s="74"/>
      <c r="Y1329" s="109">
        <f>IF(W1329="","",W1329-X1329)</f>
        <v>0</v>
      </c>
      <c r="Z1329" s="76"/>
      <c r="AA1329" s="28"/>
    </row>
    <row r="1330" spans="1:27" s="29" customFormat="1" ht="21.4" customHeight="1" x14ac:dyDescent="0.2">
      <c r="A1330" s="30"/>
      <c r="B1330" s="44" t="s">
        <v>43</v>
      </c>
      <c r="C1330" s="45"/>
      <c r="F1330" s="468" t="s">
        <v>45</v>
      </c>
      <c r="G1330" s="468"/>
      <c r="I1330" s="468" t="s">
        <v>46</v>
      </c>
      <c r="J1330" s="468"/>
      <c r="K1330" s="468"/>
      <c r="L1330" s="46"/>
      <c r="N1330" s="71"/>
      <c r="O1330" s="72" t="s">
        <v>48</v>
      </c>
      <c r="P1330" s="72"/>
      <c r="Q1330" s="72"/>
      <c r="R1330" s="72">
        <v>0</v>
      </c>
      <c r="S1330" s="63"/>
      <c r="T1330" s="72" t="s">
        <v>48</v>
      </c>
      <c r="U1330" s="109">
        <f>IF($J$1="February","",Y1329)</f>
        <v>0</v>
      </c>
      <c r="V1330" s="74"/>
      <c r="W1330" s="109">
        <f t="shared" ref="W1330:W1339" si="269">IF(U1330="","",U1330+V1330)</f>
        <v>0</v>
      </c>
      <c r="X1330" s="74"/>
      <c r="Y1330" s="109">
        <f t="shared" ref="Y1330:Y1339" si="270">IF(W1330="","",W1330-X1330)</f>
        <v>0</v>
      </c>
      <c r="Z1330" s="76"/>
    </row>
    <row r="1331" spans="1:27" s="29" customFormat="1" ht="21.4" customHeight="1" x14ac:dyDescent="0.2">
      <c r="A1331" s="30"/>
      <c r="H1331" s="47"/>
      <c r="L1331" s="34"/>
      <c r="N1331" s="71"/>
      <c r="O1331" s="72" t="s">
        <v>49</v>
      </c>
      <c r="P1331" s="72"/>
      <c r="Q1331" s="72"/>
      <c r="R1331" s="72">
        <v>0</v>
      </c>
      <c r="S1331" s="63"/>
      <c r="T1331" s="72" t="s">
        <v>49</v>
      </c>
      <c r="U1331" s="109">
        <f>IF($J$1="March","",Y1330)</f>
        <v>0</v>
      </c>
      <c r="V1331" s="74"/>
      <c r="W1331" s="109">
        <f t="shared" si="269"/>
        <v>0</v>
      </c>
      <c r="X1331" s="74"/>
      <c r="Y1331" s="109">
        <f t="shared" si="270"/>
        <v>0</v>
      </c>
      <c r="Z1331" s="76"/>
    </row>
    <row r="1332" spans="1:27" s="29" customFormat="1" ht="21.4" customHeight="1" x14ac:dyDescent="0.2">
      <c r="A1332" s="30"/>
      <c r="B1332" s="472" t="s">
        <v>44</v>
      </c>
      <c r="C1332" s="473"/>
      <c r="F1332" s="48" t="s">
        <v>66</v>
      </c>
      <c r="G1332" s="43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0</v>
      </c>
      <c r="H1332" s="47"/>
      <c r="I1332" s="49">
        <f>IF(C1336&gt;0,$K$2,C1334)</f>
        <v>31</v>
      </c>
      <c r="J1332" s="50" t="s">
        <v>63</v>
      </c>
      <c r="K1332" s="51">
        <f>K1328/$K$2*I1332</f>
        <v>0</v>
      </c>
      <c r="L1332" s="52"/>
      <c r="N1332" s="71"/>
      <c r="O1332" s="72" t="s">
        <v>50</v>
      </c>
      <c r="P1332" s="72"/>
      <c r="Q1332" s="72"/>
      <c r="R1332" s="72">
        <v>0</v>
      </c>
      <c r="S1332" s="63"/>
      <c r="T1332" s="72" t="s">
        <v>50</v>
      </c>
      <c r="U1332" s="109">
        <f>IF($J$1="April","",Y1331)</f>
        <v>0</v>
      </c>
      <c r="V1332" s="74"/>
      <c r="W1332" s="109">
        <f t="shared" si="269"/>
        <v>0</v>
      </c>
      <c r="X1332" s="74"/>
      <c r="Y1332" s="109">
        <f t="shared" si="270"/>
        <v>0</v>
      </c>
      <c r="Z1332" s="76"/>
    </row>
    <row r="1333" spans="1:27" s="29" customFormat="1" ht="21.4" customHeight="1" x14ac:dyDescent="0.2">
      <c r="A1333" s="30"/>
      <c r="B1333" s="39"/>
      <c r="C1333" s="39"/>
      <c r="F1333" s="48" t="s">
        <v>22</v>
      </c>
      <c r="G1333" s="43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7"/>
      <c r="I1333" s="84"/>
      <c r="J1333" s="50" t="s">
        <v>64</v>
      </c>
      <c r="K1333" s="53">
        <f>K1328/$K$2/8*I1333</f>
        <v>0</v>
      </c>
      <c r="L1333" s="54"/>
      <c r="N1333" s="71"/>
      <c r="O1333" s="72" t="s">
        <v>51</v>
      </c>
      <c r="P1333" s="72"/>
      <c r="Q1333" s="72"/>
      <c r="R1333" s="72" t="str">
        <f t="shared" ref="R1333:R1337" si="271">IF(Q1333="","",R1332-Q1333)</f>
        <v/>
      </c>
      <c r="S1333" s="63"/>
      <c r="T1333" s="72" t="s">
        <v>51</v>
      </c>
      <c r="U1333" s="109">
        <f>IF($J$1="May","",Y1332)</f>
        <v>0</v>
      </c>
      <c r="V1333" s="74"/>
      <c r="W1333" s="109">
        <f t="shared" si="269"/>
        <v>0</v>
      </c>
      <c r="X1333" s="74"/>
      <c r="Y1333" s="109">
        <f t="shared" si="270"/>
        <v>0</v>
      </c>
      <c r="Z1333" s="76"/>
    </row>
    <row r="1334" spans="1:27" s="29" customFormat="1" ht="21.4" customHeight="1" x14ac:dyDescent="0.2">
      <c r="A1334" s="30"/>
      <c r="B1334" s="48" t="s">
        <v>7</v>
      </c>
      <c r="C1334" s="39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0</v>
      </c>
      <c r="F1334" s="48" t="s">
        <v>67</v>
      </c>
      <c r="G1334" s="43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0</v>
      </c>
      <c r="H1334" s="47"/>
      <c r="I1334" s="456" t="s">
        <v>71</v>
      </c>
      <c r="J1334" s="457"/>
      <c r="K1334" s="53">
        <f>K1332+K1333</f>
        <v>0</v>
      </c>
      <c r="L1334" s="54"/>
      <c r="N1334" s="71"/>
      <c r="O1334" s="72" t="s">
        <v>52</v>
      </c>
      <c r="P1334" s="72"/>
      <c r="Q1334" s="72"/>
      <c r="R1334" s="72">
        <v>0</v>
      </c>
      <c r="S1334" s="63"/>
      <c r="T1334" s="72" t="s">
        <v>52</v>
      </c>
      <c r="U1334" s="109">
        <f>IF($J$1="June","",Y1333)</f>
        <v>0</v>
      </c>
      <c r="V1334" s="74"/>
      <c r="W1334" s="109">
        <f t="shared" si="269"/>
        <v>0</v>
      </c>
      <c r="X1334" s="74"/>
      <c r="Y1334" s="109">
        <f t="shared" si="270"/>
        <v>0</v>
      </c>
      <c r="Z1334" s="76"/>
    </row>
    <row r="1335" spans="1:27" s="29" customFormat="1" ht="21.4" customHeight="1" x14ac:dyDescent="0.2">
      <c r="A1335" s="30"/>
      <c r="B1335" s="48" t="s">
        <v>6</v>
      </c>
      <c r="C1335" s="39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F1335" s="48" t="s">
        <v>23</v>
      </c>
      <c r="G1335" s="43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7"/>
      <c r="I1335" s="456" t="s">
        <v>72</v>
      </c>
      <c r="J1335" s="457"/>
      <c r="K1335" s="43">
        <f>G1335</f>
        <v>0</v>
      </c>
      <c r="L1335" s="55"/>
      <c r="N1335" s="71"/>
      <c r="O1335" s="72" t="s">
        <v>53</v>
      </c>
      <c r="P1335" s="72"/>
      <c r="Q1335" s="72"/>
      <c r="R1335" s="72" t="str">
        <f t="shared" si="271"/>
        <v/>
      </c>
      <c r="S1335" s="63"/>
      <c r="T1335" s="72" t="s">
        <v>53</v>
      </c>
      <c r="U1335" s="109">
        <f>IF($J$1="July","",Y1334)</f>
        <v>0</v>
      </c>
      <c r="V1335" s="74"/>
      <c r="W1335" s="109">
        <f t="shared" si="269"/>
        <v>0</v>
      </c>
      <c r="X1335" s="74"/>
      <c r="Y1335" s="109">
        <f t="shared" si="270"/>
        <v>0</v>
      </c>
      <c r="Z1335" s="76"/>
    </row>
    <row r="1336" spans="1:27" s="29" customFormat="1" ht="21.4" customHeight="1" x14ac:dyDescent="0.2">
      <c r="A1336" s="30"/>
      <c r="B1336" s="56" t="s">
        <v>70</v>
      </c>
      <c r="C1336" s="39" t="str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/>
      </c>
      <c r="F1336" s="48" t="s">
        <v>69</v>
      </c>
      <c r="G1336" s="43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0</v>
      </c>
      <c r="I1336" s="458" t="s">
        <v>65</v>
      </c>
      <c r="J1336" s="459"/>
      <c r="K1336" s="57">
        <f>K1334-K1335</f>
        <v>0</v>
      </c>
      <c r="L1336" s="58"/>
      <c r="N1336" s="71"/>
      <c r="O1336" s="72" t="s">
        <v>58</v>
      </c>
      <c r="P1336" s="72"/>
      <c r="Q1336" s="72"/>
      <c r="R1336" s="72"/>
      <c r="S1336" s="63"/>
      <c r="T1336" s="72" t="s">
        <v>58</v>
      </c>
      <c r="U1336" s="109">
        <f>IF($J$1="August","",Y1335)</f>
        <v>0</v>
      </c>
      <c r="V1336" s="74"/>
      <c r="W1336" s="109">
        <f t="shared" si="269"/>
        <v>0</v>
      </c>
      <c r="X1336" s="74"/>
      <c r="Y1336" s="109">
        <f t="shared" si="270"/>
        <v>0</v>
      </c>
      <c r="Z1336" s="76"/>
    </row>
    <row r="1337" spans="1:27" s="29" customFormat="1" ht="21.4" customHeight="1" x14ac:dyDescent="0.2">
      <c r="A1337" s="30"/>
      <c r="L1337" s="46"/>
      <c r="N1337" s="71"/>
      <c r="O1337" s="72" t="s">
        <v>54</v>
      </c>
      <c r="P1337" s="72"/>
      <c r="Q1337" s="72"/>
      <c r="R1337" s="72" t="str">
        <f t="shared" si="271"/>
        <v/>
      </c>
      <c r="S1337" s="63"/>
      <c r="T1337" s="72" t="s">
        <v>54</v>
      </c>
      <c r="U1337" s="109">
        <f>IF($J$1="September","",Y1336)</f>
        <v>0</v>
      </c>
      <c r="V1337" s="74"/>
      <c r="W1337" s="109">
        <f t="shared" si="269"/>
        <v>0</v>
      </c>
      <c r="X1337" s="74"/>
      <c r="Y1337" s="109">
        <f t="shared" si="270"/>
        <v>0</v>
      </c>
      <c r="Z1337" s="76"/>
    </row>
    <row r="1338" spans="1:27" s="29" customFormat="1" ht="21.4" customHeight="1" x14ac:dyDescent="0.2">
      <c r="A1338" s="30"/>
      <c r="B1338" s="455" t="s">
        <v>94</v>
      </c>
      <c r="C1338" s="455"/>
      <c r="D1338" s="455"/>
      <c r="E1338" s="455"/>
      <c r="F1338" s="455"/>
      <c r="G1338" s="455"/>
      <c r="H1338" s="455"/>
      <c r="I1338" s="455"/>
      <c r="J1338" s="455"/>
      <c r="K1338" s="455"/>
      <c r="L1338" s="46"/>
      <c r="N1338" s="71"/>
      <c r="O1338" s="72" t="s">
        <v>59</v>
      </c>
      <c r="P1338" s="72"/>
      <c r="Q1338" s="72"/>
      <c r="R1338" s="72">
        <v>0</v>
      </c>
      <c r="S1338" s="63"/>
      <c r="T1338" s="72" t="s">
        <v>59</v>
      </c>
      <c r="U1338" s="109" t="str">
        <f>IF($J$1="October","",Y1337)</f>
        <v/>
      </c>
      <c r="V1338" s="74"/>
      <c r="W1338" s="109" t="str">
        <f t="shared" si="269"/>
        <v/>
      </c>
      <c r="X1338" s="74"/>
      <c r="Y1338" s="109" t="str">
        <f t="shared" si="270"/>
        <v/>
      </c>
      <c r="Z1338" s="76"/>
    </row>
    <row r="1339" spans="1:27" s="29" customFormat="1" ht="21.4" customHeight="1" x14ac:dyDescent="0.2">
      <c r="A1339" s="30"/>
      <c r="B1339" s="455"/>
      <c r="C1339" s="455"/>
      <c r="D1339" s="455"/>
      <c r="E1339" s="455"/>
      <c r="F1339" s="455"/>
      <c r="G1339" s="455"/>
      <c r="H1339" s="455"/>
      <c r="I1339" s="455"/>
      <c r="J1339" s="455"/>
      <c r="K1339" s="455"/>
      <c r="L1339" s="46"/>
      <c r="N1339" s="71"/>
      <c r="O1339" s="72" t="s">
        <v>60</v>
      </c>
      <c r="P1339" s="72"/>
      <c r="Q1339" s="72"/>
      <c r="R1339" s="72">
        <v>0</v>
      </c>
      <c r="S1339" s="63"/>
      <c r="T1339" s="72" t="s">
        <v>60</v>
      </c>
      <c r="U1339" s="109" t="str">
        <f>IF($J$1="November","",Y1338)</f>
        <v/>
      </c>
      <c r="V1339" s="74"/>
      <c r="W1339" s="109" t="str">
        <f t="shared" si="269"/>
        <v/>
      </c>
      <c r="X1339" s="74"/>
      <c r="Y1339" s="109" t="str">
        <f t="shared" si="270"/>
        <v/>
      </c>
      <c r="Z1339" s="76"/>
    </row>
    <row r="1340" spans="1:27" s="29" customFormat="1" ht="21.4" customHeight="1" thickBot="1" x14ac:dyDescent="0.25">
      <c r="A1340" s="59"/>
      <c r="B1340" s="60"/>
      <c r="C1340" s="60"/>
      <c r="D1340" s="60"/>
      <c r="E1340" s="60"/>
      <c r="F1340" s="60"/>
      <c r="G1340" s="60"/>
      <c r="H1340" s="60"/>
      <c r="I1340" s="60"/>
      <c r="J1340" s="60"/>
      <c r="K1340" s="60"/>
      <c r="L1340" s="61"/>
      <c r="N1340" s="77"/>
      <c r="O1340" s="78"/>
      <c r="P1340" s="78"/>
      <c r="Q1340" s="78"/>
      <c r="R1340" s="78"/>
      <c r="S1340" s="78"/>
      <c r="T1340" s="78"/>
      <c r="U1340" s="78"/>
      <c r="V1340" s="78"/>
      <c r="W1340" s="78"/>
      <c r="X1340" s="78"/>
      <c r="Y1340" s="78"/>
      <c r="Z1340" s="79"/>
    </row>
    <row r="1341" spans="1:27" s="29" customFormat="1" ht="21.4" customHeight="1" x14ac:dyDescent="0.2">
      <c r="N1341" s="63"/>
      <c r="O1341" s="63"/>
      <c r="P1341" s="63"/>
      <c r="Q1341" s="63"/>
      <c r="R1341" s="63"/>
      <c r="S1341" s="63"/>
      <c r="T1341" s="63"/>
      <c r="U1341" s="63"/>
      <c r="V1341" s="63"/>
      <c r="W1341" s="63"/>
      <c r="X1341" s="63"/>
      <c r="Y1341" s="63"/>
      <c r="Z1341" s="63"/>
    </row>
    <row r="1342" spans="1:27" s="29" customFormat="1" ht="21.4" customHeight="1" thickBot="1" x14ac:dyDescent="0.25">
      <c r="N1342" s="63"/>
      <c r="O1342" s="63"/>
      <c r="P1342" s="63"/>
      <c r="Q1342" s="63"/>
      <c r="R1342" s="63"/>
      <c r="S1342" s="63"/>
      <c r="T1342" s="63"/>
      <c r="U1342" s="63"/>
      <c r="V1342" s="63"/>
      <c r="W1342" s="63"/>
      <c r="X1342" s="63"/>
      <c r="Y1342" s="63"/>
      <c r="Z1342" s="63"/>
    </row>
    <row r="1343" spans="1:27" s="29" customFormat="1" ht="21" customHeight="1" x14ac:dyDescent="0.2">
      <c r="A1343" s="460" t="s">
        <v>42</v>
      </c>
      <c r="B1343" s="461"/>
      <c r="C1343" s="461"/>
      <c r="D1343" s="461"/>
      <c r="E1343" s="461"/>
      <c r="F1343" s="461"/>
      <c r="G1343" s="461"/>
      <c r="H1343" s="461"/>
      <c r="I1343" s="461"/>
      <c r="J1343" s="461"/>
      <c r="K1343" s="461"/>
      <c r="L1343" s="462"/>
      <c r="M1343" s="28"/>
      <c r="N1343" s="64"/>
      <c r="O1343" s="469" t="s">
        <v>44</v>
      </c>
      <c r="P1343" s="470"/>
      <c r="Q1343" s="470"/>
      <c r="R1343" s="471"/>
      <c r="S1343" s="65"/>
      <c r="T1343" s="469" t="s">
        <v>45</v>
      </c>
      <c r="U1343" s="470"/>
      <c r="V1343" s="470"/>
      <c r="W1343" s="470"/>
      <c r="X1343" s="470"/>
      <c r="Y1343" s="471"/>
      <c r="Z1343" s="66"/>
      <c r="AA1343" s="28"/>
    </row>
    <row r="1344" spans="1:27" s="29" customFormat="1" ht="21" customHeight="1" x14ac:dyDescent="0.2">
      <c r="A1344" s="30"/>
      <c r="C1344" s="466" t="s">
        <v>92</v>
      </c>
      <c r="D1344" s="466"/>
      <c r="E1344" s="466"/>
      <c r="F1344" s="466"/>
      <c r="G1344" s="31" t="str">
        <f>$J$1</f>
        <v>October</v>
      </c>
      <c r="H1344" s="467">
        <f>$K$1</f>
        <v>2022</v>
      </c>
      <c r="I1344" s="467"/>
      <c r="K1344" s="32"/>
      <c r="L1344" s="33"/>
      <c r="M1344" s="32"/>
      <c r="N1344" s="67"/>
      <c r="O1344" s="68" t="s">
        <v>55</v>
      </c>
      <c r="P1344" s="68" t="s">
        <v>7</v>
      </c>
      <c r="Q1344" s="68" t="s">
        <v>6</v>
      </c>
      <c r="R1344" s="68" t="s">
        <v>56</v>
      </c>
      <c r="S1344" s="69"/>
      <c r="T1344" s="68" t="s">
        <v>55</v>
      </c>
      <c r="U1344" s="68" t="s">
        <v>57</v>
      </c>
      <c r="V1344" s="68" t="s">
        <v>22</v>
      </c>
      <c r="W1344" s="68" t="s">
        <v>21</v>
      </c>
      <c r="X1344" s="68" t="s">
        <v>23</v>
      </c>
      <c r="Y1344" s="68" t="s">
        <v>61</v>
      </c>
      <c r="Z1344" s="70"/>
      <c r="AA1344" s="32"/>
    </row>
    <row r="1345" spans="1:27" s="29" customFormat="1" ht="21" customHeight="1" x14ac:dyDescent="0.2">
      <c r="A1345" s="30"/>
      <c r="D1345" s="35"/>
      <c r="E1345" s="35"/>
      <c r="F1345" s="35"/>
      <c r="G1345" s="35"/>
      <c r="H1345" s="35"/>
      <c r="J1345" s="36" t="s">
        <v>1</v>
      </c>
      <c r="K1345" s="37">
        <v>27000</v>
      </c>
      <c r="L1345" s="38"/>
      <c r="N1345" s="71"/>
      <c r="O1345" s="72" t="s">
        <v>47</v>
      </c>
      <c r="P1345" s="72">
        <v>27</v>
      </c>
      <c r="Q1345" s="72">
        <v>4</v>
      </c>
      <c r="R1345" s="72">
        <f>15-Q1345</f>
        <v>11</v>
      </c>
      <c r="S1345" s="73"/>
      <c r="T1345" s="72" t="s">
        <v>47</v>
      </c>
      <c r="U1345" s="74">
        <v>20000</v>
      </c>
      <c r="V1345" s="74"/>
      <c r="W1345" s="74">
        <f>V1345+U1345</f>
        <v>20000</v>
      </c>
      <c r="X1345" s="74"/>
      <c r="Y1345" s="74">
        <f>W1345-X1345</f>
        <v>20000</v>
      </c>
      <c r="Z1345" s="70"/>
    </row>
    <row r="1346" spans="1:27" s="29" customFormat="1" ht="21" customHeight="1" x14ac:dyDescent="0.2">
      <c r="A1346" s="30"/>
      <c r="B1346" s="29" t="s">
        <v>0</v>
      </c>
      <c r="C1346" s="40" t="s">
        <v>84</v>
      </c>
      <c r="H1346" s="41"/>
      <c r="I1346" s="35"/>
      <c r="L1346" s="42"/>
      <c r="M1346" s="28"/>
      <c r="N1346" s="75"/>
      <c r="O1346" s="72" t="s">
        <v>73</v>
      </c>
      <c r="P1346" s="72">
        <v>27</v>
      </c>
      <c r="Q1346" s="72">
        <v>1</v>
      </c>
      <c r="R1346" s="72">
        <f t="shared" ref="R1346:R1353" si="272">IF(Q1346="","",R1345-Q1346)</f>
        <v>10</v>
      </c>
      <c r="S1346" s="63"/>
      <c r="T1346" s="72" t="s">
        <v>73</v>
      </c>
      <c r="U1346" s="109">
        <f>Y1345</f>
        <v>20000</v>
      </c>
      <c r="V1346" s="74"/>
      <c r="W1346" s="109">
        <f>IF(U1346="","",U1346+V1346)</f>
        <v>20000</v>
      </c>
      <c r="X1346" s="74">
        <v>5000</v>
      </c>
      <c r="Y1346" s="109">
        <f>IF(W1346="","",W1346-X1346)</f>
        <v>15000</v>
      </c>
      <c r="Z1346" s="76"/>
      <c r="AA1346" s="28"/>
    </row>
    <row r="1347" spans="1:27" s="29" customFormat="1" ht="21" customHeight="1" x14ac:dyDescent="0.2">
      <c r="A1347" s="30"/>
      <c r="B1347" s="44" t="s">
        <v>43</v>
      </c>
      <c r="C1347" s="45"/>
      <c r="F1347" s="468" t="s">
        <v>45</v>
      </c>
      <c r="G1347" s="468"/>
      <c r="I1347" s="468" t="s">
        <v>46</v>
      </c>
      <c r="J1347" s="468"/>
      <c r="K1347" s="468"/>
      <c r="L1347" s="46"/>
      <c r="N1347" s="71"/>
      <c r="O1347" s="72" t="s">
        <v>48</v>
      </c>
      <c r="P1347" s="72">
        <v>31</v>
      </c>
      <c r="Q1347" s="72">
        <v>0</v>
      </c>
      <c r="R1347" s="72">
        <f t="shared" si="272"/>
        <v>10</v>
      </c>
      <c r="S1347" s="63"/>
      <c r="T1347" s="72" t="s">
        <v>48</v>
      </c>
      <c r="U1347" s="109">
        <f>IF($J$1="February","",Y1346)</f>
        <v>15000</v>
      </c>
      <c r="V1347" s="74"/>
      <c r="W1347" s="109">
        <f t="shared" ref="W1347:W1356" si="273">IF(U1347="","",U1347+V1347)</f>
        <v>15000</v>
      </c>
      <c r="X1347" s="74"/>
      <c r="Y1347" s="109">
        <f t="shared" ref="Y1347:Y1356" si="274">IF(W1347="","",W1347-X1347)</f>
        <v>15000</v>
      </c>
      <c r="Z1347" s="76"/>
    </row>
    <row r="1348" spans="1:27" s="29" customFormat="1" ht="21" customHeight="1" x14ac:dyDescent="0.2">
      <c r="A1348" s="30"/>
      <c r="H1348" s="47"/>
      <c r="L1348" s="34"/>
      <c r="N1348" s="71"/>
      <c r="O1348" s="72" t="s">
        <v>49</v>
      </c>
      <c r="P1348" s="72">
        <v>29</v>
      </c>
      <c r="Q1348" s="72">
        <v>1</v>
      </c>
      <c r="R1348" s="72">
        <f t="shared" si="272"/>
        <v>9</v>
      </c>
      <c r="S1348" s="63"/>
      <c r="T1348" s="72" t="s">
        <v>49</v>
      </c>
      <c r="U1348" s="109">
        <f>IF($J$1="March","",Y1347)</f>
        <v>15000</v>
      </c>
      <c r="V1348" s="74"/>
      <c r="W1348" s="109">
        <f t="shared" si="273"/>
        <v>15000</v>
      </c>
      <c r="X1348" s="74"/>
      <c r="Y1348" s="109">
        <f t="shared" si="274"/>
        <v>15000</v>
      </c>
      <c r="Z1348" s="76"/>
    </row>
    <row r="1349" spans="1:27" s="29" customFormat="1" ht="21" customHeight="1" x14ac:dyDescent="0.2">
      <c r="A1349" s="30"/>
      <c r="B1349" s="472" t="s">
        <v>44</v>
      </c>
      <c r="C1349" s="473"/>
      <c r="F1349" s="48" t="s">
        <v>66</v>
      </c>
      <c r="G1349" s="97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7"/>
      <c r="I1349" s="187">
        <f>IF(C1353&gt;0,$K$2,C1351)</f>
        <v>0</v>
      </c>
      <c r="J1349" s="50" t="s">
        <v>63</v>
      </c>
      <c r="K1349" s="51">
        <f>K1345/$K$2*I1349</f>
        <v>0</v>
      </c>
      <c r="L1349" s="52"/>
      <c r="N1349" s="71"/>
      <c r="O1349" s="72" t="s">
        <v>50</v>
      </c>
      <c r="P1349" s="72">
        <v>31</v>
      </c>
      <c r="Q1349" s="72">
        <v>0</v>
      </c>
      <c r="R1349" s="72">
        <f t="shared" si="272"/>
        <v>9</v>
      </c>
      <c r="S1349" s="63"/>
      <c r="T1349" s="72" t="s">
        <v>50</v>
      </c>
      <c r="U1349" s="109">
        <f>IF($J$1="April","",Y1348)</f>
        <v>15000</v>
      </c>
      <c r="V1349" s="74"/>
      <c r="W1349" s="109">
        <f t="shared" si="273"/>
        <v>15000</v>
      </c>
      <c r="X1349" s="74"/>
      <c r="Y1349" s="109">
        <f t="shared" si="274"/>
        <v>15000</v>
      </c>
      <c r="Z1349" s="76"/>
    </row>
    <row r="1350" spans="1:27" s="29" customFormat="1" ht="21" customHeight="1" x14ac:dyDescent="0.2">
      <c r="A1350" s="30"/>
      <c r="B1350" s="39"/>
      <c r="C1350" s="39"/>
      <c r="F1350" s="48" t="s">
        <v>22</v>
      </c>
      <c r="G1350" s="97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7"/>
      <c r="I1350" s="84"/>
      <c r="J1350" s="50" t="s">
        <v>64</v>
      </c>
      <c r="K1350" s="53">
        <f>K1345/$K$2/8*I1350</f>
        <v>0</v>
      </c>
      <c r="L1350" s="54"/>
      <c r="N1350" s="71"/>
      <c r="O1350" s="72" t="s">
        <v>51</v>
      </c>
      <c r="P1350" s="72">
        <v>29</v>
      </c>
      <c r="Q1350" s="72">
        <v>1</v>
      </c>
      <c r="R1350" s="72">
        <f t="shared" si="272"/>
        <v>8</v>
      </c>
      <c r="S1350" s="63"/>
      <c r="T1350" s="72" t="s">
        <v>51</v>
      </c>
      <c r="U1350" s="109">
        <f>Y1349</f>
        <v>15000</v>
      </c>
      <c r="V1350" s="74"/>
      <c r="W1350" s="109">
        <f t="shared" si="273"/>
        <v>15000</v>
      </c>
      <c r="X1350" s="74"/>
      <c r="Y1350" s="109">
        <f t="shared" si="274"/>
        <v>15000</v>
      </c>
      <c r="Z1350" s="76"/>
    </row>
    <row r="1351" spans="1:27" s="29" customFormat="1" ht="21" customHeight="1" x14ac:dyDescent="0.2">
      <c r="A1351" s="30"/>
      <c r="B1351" s="48" t="s">
        <v>7</v>
      </c>
      <c r="C1351" s="39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F1351" s="48" t="s">
        <v>67</v>
      </c>
      <c r="G1351" s="97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7"/>
      <c r="I1351" s="456" t="s">
        <v>71</v>
      </c>
      <c r="J1351" s="457"/>
      <c r="K1351" s="53">
        <f>K1349+K1350</f>
        <v>0</v>
      </c>
      <c r="L1351" s="54"/>
      <c r="N1351" s="71"/>
      <c r="O1351" s="72" t="s">
        <v>52</v>
      </c>
      <c r="P1351" s="72">
        <v>31</v>
      </c>
      <c r="Q1351" s="72">
        <v>0</v>
      </c>
      <c r="R1351" s="72">
        <f t="shared" si="272"/>
        <v>8</v>
      </c>
      <c r="S1351" s="63"/>
      <c r="T1351" s="72" t="s">
        <v>52</v>
      </c>
      <c r="U1351" s="109">
        <f>Y1350</f>
        <v>15000</v>
      </c>
      <c r="V1351" s="74"/>
      <c r="W1351" s="109">
        <f t="shared" si="273"/>
        <v>15000</v>
      </c>
      <c r="X1351" s="74"/>
      <c r="Y1351" s="109">
        <f t="shared" si="274"/>
        <v>15000</v>
      </c>
      <c r="Z1351" s="76"/>
    </row>
    <row r="1352" spans="1:27" s="29" customFormat="1" ht="21" customHeight="1" x14ac:dyDescent="0.2">
      <c r="A1352" s="30"/>
      <c r="B1352" s="48" t="s">
        <v>6</v>
      </c>
      <c r="C1352" s="39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F1352" s="48" t="s">
        <v>23</v>
      </c>
      <c r="G1352" s="97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7"/>
      <c r="I1352" s="456" t="s">
        <v>72</v>
      </c>
      <c r="J1352" s="457"/>
      <c r="K1352" s="43">
        <f>G1352</f>
        <v>0</v>
      </c>
      <c r="L1352" s="55"/>
      <c r="N1352" s="71"/>
      <c r="O1352" s="72" t="s">
        <v>53</v>
      </c>
      <c r="P1352" s="72"/>
      <c r="Q1352" s="72"/>
      <c r="R1352" s="72" t="str">
        <f t="shared" si="272"/>
        <v/>
      </c>
      <c r="S1352" s="63"/>
      <c r="T1352" s="72" t="s">
        <v>53</v>
      </c>
      <c r="U1352" s="109">
        <v>0</v>
      </c>
      <c r="V1352" s="74"/>
      <c r="W1352" s="109">
        <f t="shared" si="273"/>
        <v>0</v>
      </c>
      <c r="X1352" s="74"/>
      <c r="Y1352" s="109">
        <f t="shared" si="274"/>
        <v>0</v>
      </c>
      <c r="Z1352" s="76"/>
    </row>
    <row r="1353" spans="1:27" s="29" customFormat="1" ht="21" customHeight="1" x14ac:dyDescent="0.2">
      <c r="A1353" s="30"/>
      <c r="B1353" s="56" t="s">
        <v>70</v>
      </c>
      <c r="C1353" s="39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>0</v>
      </c>
      <c r="F1353" s="48" t="s">
        <v>69</v>
      </c>
      <c r="G1353" s="97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I1353" s="458" t="s">
        <v>65</v>
      </c>
      <c r="J1353" s="459"/>
      <c r="K1353" s="57">
        <f>K1351-K1352</f>
        <v>0</v>
      </c>
      <c r="L1353" s="58"/>
      <c r="N1353" s="71"/>
      <c r="O1353" s="72" t="s">
        <v>58</v>
      </c>
      <c r="P1353" s="72"/>
      <c r="Q1353" s="72"/>
      <c r="R1353" s="72" t="str">
        <f t="shared" si="272"/>
        <v/>
      </c>
      <c r="S1353" s="63"/>
      <c r="T1353" s="72" t="s">
        <v>58</v>
      </c>
      <c r="U1353" s="109">
        <f>IF($J$1="August","",Y1352)</f>
        <v>0</v>
      </c>
      <c r="V1353" s="74"/>
      <c r="W1353" s="109">
        <f t="shared" si="273"/>
        <v>0</v>
      </c>
      <c r="X1353" s="74"/>
      <c r="Y1353" s="109">
        <f t="shared" si="274"/>
        <v>0</v>
      </c>
      <c r="Z1353" s="76"/>
    </row>
    <row r="1354" spans="1:27" s="29" customFormat="1" ht="21" customHeight="1" x14ac:dyDescent="0.2">
      <c r="A1354" s="30"/>
      <c r="I1354" s="487"/>
      <c r="J1354" s="487"/>
      <c r="L1354" s="46"/>
      <c r="N1354" s="71"/>
      <c r="O1354" s="72" t="s">
        <v>54</v>
      </c>
      <c r="P1354" s="72"/>
      <c r="Q1354" s="72"/>
      <c r="R1354" s="72"/>
      <c r="S1354" s="63"/>
      <c r="T1354" s="72" t="s">
        <v>54</v>
      </c>
      <c r="U1354" s="109">
        <f>IF($J$1="September","",Y1353)</f>
        <v>0</v>
      </c>
      <c r="V1354" s="74"/>
      <c r="W1354" s="109">
        <f t="shared" si="273"/>
        <v>0</v>
      </c>
      <c r="X1354" s="74"/>
      <c r="Y1354" s="109">
        <f t="shared" si="274"/>
        <v>0</v>
      </c>
      <c r="Z1354" s="76"/>
    </row>
    <row r="1355" spans="1:27" s="29" customFormat="1" ht="21" customHeight="1" x14ac:dyDescent="0.2">
      <c r="A1355" s="30"/>
      <c r="B1355" s="455" t="s">
        <v>94</v>
      </c>
      <c r="C1355" s="455"/>
      <c r="D1355" s="455"/>
      <c r="E1355" s="455"/>
      <c r="F1355" s="455"/>
      <c r="G1355" s="455"/>
      <c r="H1355" s="455"/>
      <c r="I1355" s="455"/>
      <c r="J1355" s="455"/>
      <c r="K1355" s="455"/>
      <c r="L1355" s="46"/>
      <c r="N1355" s="71"/>
      <c r="O1355" s="72" t="s">
        <v>59</v>
      </c>
      <c r="P1355" s="72"/>
      <c r="Q1355" s="72"/>
      <c r="R1355" s="72"/>
      <c r="S1355" s="63"/>
      <c r="T1355" s="72" t="s">
        <v>59</v>
      </c>
      <c r="U1355" s="109" t="str">
        <f>IF($J$1="October","",Y1354)</f>
        <v/>
      </c>
      <c r="V1355" s="74"/>
      <c r="W1355" s="109" t="str">
        <f t="shared" si="273"/>
        <v/>
      </c>
      <c r="X1355" s="74"/>
      <c r="Y1355" s="109" t="str">
        <f t="shared" si="274"/>
        <v/>
      </c>
      <c r="Z1355" s="76"/>
    </row>
    <row r="1356" spans="1:27" s="29" customFormat="1" ht="21" customHeight="1" x14ac:dyDescent="0.2">
      <c r="A1356" s="30"/>
      <c r="B1356" s="455"/>
      <c r="C1356" s="455"/>
      <c r="D1356" s="455"/>
      <c r="E1356" s="455"/>
      <c r="F1356" s="455"/>
      <c r="G1356" s="455"/>
      <c r="H1356" s="455"/>
      <c r="I1356" s="455"/>
      <c r="J1356" s="455"/>
      <c r="K1356" s="455"/>
      <c r="L1356" s="46"/>
      <c r="N1356" s="71"/>
      <c r="O1356" s="72" t="s">
        <v>60</v>
      </c>
      <c r="P1356" s="72"/>
      <c r="Q1356" s="72"/>
      <c r="R1356" s="72" t="str">
        <f t="shared" ref="R1356" si="275">IF(Q1356="","",R1355-Q1356)</f>
        <v/>
      </c>
      <c r="S1356" s="63"/>
      <c r="T1356" s="72" t="s">
        <v>60</v>
      </c>
      <c r="U1356" s="109" t="str">
        <f>IF($J$1="November","",Y1355)</f>
        <v/>
      </c>
      <c r="V1356" s="74"/>
      <c r="W1356" s="109" t="str">
        <f t="shared" si="273"/>
        <v/>
      </c>
      <c r="X1356" s="74"/>
      <c r="Y1356" s="109" t="str">
        <f t="shared" si="274"/>
        <v/>
      </c>
      <c r="Z1356" s="76"/>
    </row>
    <row r="1357" spans="1:27" s="29" customFormat="1" ht="21" customHeight="1" thickBot="1" x14ac:dyDescent="0.25">
      <c r="A1357" s="59"/>
      <c r="B1357" s="60"/>
      <c r="C1357" s="60"/>
      <c r="D1357" s="60"/>
      <c r="E1357" s="60"/>
      <c r="F1357" s="60"/>
      <c r="G1357" s="60"/>
      <c r="H1357" s="60"/>
      <c r="I1357" s="60"/>
      <c r="J1357" s="60"/>
      <c r="K1357" s="60"/>
      <c r="L1357" s="61"/>
      <c r="N1357" s="77"/>
      <c r="O1357" s="78"/>
      <c r="P1357" s="78"/>
      <c r="Q1357" s="78"/>
      <c r="R1357" s="78"/>
      <c r="S1357" s="78"/>
      <c r="T1357" s="78"/>
      <c r="U1357" s="78"/>
      <c r="V1357" s="78"/>
      <c r="W1357" s="78"/>
      <c r="X1357" s="78"/>
      <c r="Y1357" s="78"/>
      <c r="Z1357" s="79"/>
    </row>
    <row r="1359" spans="1:27" s="29" customFormat="1" ht="21" customHeight="1" thickBot="1" x14ac:dyDescent="0.25">
      <c r="N1359" s="63"/>
      <c r="O1359" s="63"/>
      <c r="P1359" s="63"/>
      <c r="Q1359" s="63"/>
      <c r="R1359" s="63"/>
      <c r="S1359" s="63"/>
      <c r="T1359" s="63"/>
      <c r="U1359" s="63"/>
      <c r="V1359" s="63"/>
      <c r="W1359" s="63"/>
      <c r="X1359" s="63"/>
      <c r="Y1359" s="63"/>
      <c r="Z1359" s="63"/>
    </row>
    <row r="1360" spans="1:27" s="29" customFormat="1" ht="21.4" customHeight="1" x14ac:dyDescent="0.2">
      <c r="A1360" s="500" t="s">
        <v>42</v>
      </c>
      <c r="B1360" s="501"/>
      <c r="C1360" s="501"/>
      <c r="D1360" s="501"/>
      <c r="E1360" s="501"/>
      <c r="F1360" s="501"/>
      <c r="G1360" s="501"/>
      <c r="H1360" s="501"/>
      <c r="I1360" s="501"/>
      <c r="J1360" s="501"/>
      <c r="K1360" s="501"/>
      <c r="L1360" s="502"/>
      <c r="M1360" s="28"/>
      <c r="N1360" s="64"/>
      <c r="O1360" s="469" t="s">
        <v>44</v>
      </c>
      <c r="P1360" s="470"/>
      <c r="Q1360" s="470"/>
      <c r="R1360" s="471"/>
      <c r="S1360" s="65"/>
      <c r="T1360" s="469" t="s">
        <v>45</v>
      </c>
      <c r="U1360" s="470"/>
      <c r="V1360" s="470"/>
      <c r="W1360" s="470"/>
      <c r="X1360" s="470"/>
      <c r="Y1360" s="471"/>
      <c r="Z1360" s="66"/>
      <c r="AA1360" s="28"/>
    </row>
    <row r="1361" spans="1:27" s="29" customFormat="1" ht="21.4" customHeight="1" x14ac:dyDescent="0.2">
      <c r="A1361" s="30"/>
      <c r="C1361" s="466" t="s">
        <v>92</v>
      </c>
      <c r="D1361" s="466"/>
      <c r="E1361" s="466"/>
      <c r="F1361" s="466"/>
      <c r="G1361" s="31" t="str">
        <f>$J$1</f>
        <v>October</v>
      </c>
      <c r="H1361" s="467">
        <f>$K$1</f>
        <v>2022</v>
      </c>
      <c r="I1361" s="467"/>
      <c r="K1361" s="32"/>
      <c r="L1361" s="33"/>
      <c r="M1361" s="32"/>
      <c r="N1361" s="67"/>
      <c r="O1361" s="68" t="s">
        <v>55</v>
      </c>
      <c r="P1361" s="68" t="s">
        <v>7</v>
      </c>
      <c r="Q1361" s="68" t="s">
        <v>6</v>
      </c>
      <c r="R1361" s="68" t="s">
        <v>56</v>
      </c>
      <c r="S1361" s="69"/>
      <c r="T1361" s="68" t="s">
        <v>55</v>
      </c>
      <c r="U1361" s="68" t="s">
        <v>57</v>
      </c>
      <c r="V1361" s="68" t="s">
        <v>22</v>
      </c>
      <c r="W1361" s="68" t="s">
        <v>21</v>
      </c>
      <c r="X1361" s="68" t="s">
        <v>23</v>
      </c>
      <c r="Y1361" s="68" t="s">
        <v>61</v>
      </c>
      <c r="Z1361" s="70"/>
      <c r="AA1361" s="32"/>
    </row>
    <row r="1362" spans="1:27" s="29" customFormat="1" ht="21.4" customHeight="1" x14ac:dyDescent="0.2">
      <c r="A1362" s="30"/>
      <c r="D1362" s="35"/>
      <c r="E1362" s="35"/>
      <c r="F1362" s="35"/>
      <c r="G1362" s="35"/>
      <c r="H1362" s="35"/>
      <c r="J1362" s="36" t="s">
        <v>1</v>
      </c>
      <c r="K1362" s="37"/>
      <c r="L1362" s="38"/>
      <c r="N1362" s="71"/>
      <c r="O1362" s="72" t="s">
        <v>47</v>
      </c>
      <c r="P1362" s="72"/>
      <c r="Q1362" s="72"/>
      <c r="R1362" s="72"/>
      <c r="S1362" s="73"/>
      <c r="T1362" s="72" t="s">
        <v>47</v>
      </c>
      <c r="U1362" s="74"/>
      <c r="V1362" s="74"/>
      <c r="W1362" s="74">
        <f>V1362+U1362</f>
        <v>0</v>
      </c>
      <c r="X1362" s="74"/>
      <c r="Y1362" s="74">
        <f>W1362-X1362</f>
        <v>0</v>
      </c>
      <c r="Z1362" s="70"/>
    </row>
    <row r="1363" spans="1:27" s="29" customFormat="1" ht="21.4" customHeight="1" x14ac:dyDescent="0.2">
      <c r="A1363" s="30"/>
      <c r="B1363" s="29" t="s">
        <v>0</v>
      </c>
      <c r="C1363" s="40"/>
      <c r="H1363" s="41"/>
      <c r="I1363" s="35"/>
      <c r="L1363" s="42"/>
      <c r="M1363" s="28"/>
      <c r="N1363" s="75"/>
      <c r="O1363" s="72" t="s">
        <v>73</v>
      </c>
      <c r="P1363" s="72"/>
      <c r="Q1363" s="72"/>
      <c r="R1363" s="72" t="str">
        <f>IF(Q1363="","",R1362-Q1363)</f>
        <v/>
      </c>
      <c r="S1363" s="63"/>
      <c r="T1363" s="72" t="s">
        <v>73</v>
      </c>
      <c r="U1363" s="109">
        <f>Y1362</f>
        <v>0</v>
      </c>
      <c r="V1363" s="74"/>
      <c r="W1363" s="109">
        <f>IF(U1363="","",U1363+V1363)</f>
        <v>0</v>
      </c>
      <c r="X1363" s="74"/>
      <c r="Y1363" s="109">
        <f>IF(W1363="","",W1363-X1363)</f>
        <v>0</v>
      </c>
      <c r="Z1363" s="76"/>
      <c r="AA1363" s="28"/>
    </row>
    <row r="1364" spans="1:27" s="29" customFormat="1" ht="21.4" customHeight="1" x14ac:dyDescent="0.2">
      <c r="A1364" s="30"/>
      <c r="B1364" s="44" t="s">
        <v>43</v>
      </c>
      <c r="C1364" s="45"/>
      <c r="F1364" s="468" t="s">
        <v>45</v>
      </c>
      <c r="G1364" s="468"/>
      <c r="I1364" s="468" t="s">
        <v>46</v>
      </c>
      <c r="J1364" s="468"/>
      <c r="K1364" s="468"/>
      <c r="L1364" s="46"/>
      <c r="N1364" s="71"/>
      <c r="O1364" s="72" t="s">
        <v>48</v>
      </c>
      <c r="P1364" s="72"/>
      <c r="Q1364" s="72"/>
      <c r="R1364" s="72" t="str">
        <f t="shared" ref="R1364:R1373" si="276">IF(Q1364="","",R1363-Q1364)</f>
        <v/>
      </c>
      <c r="S1364" s="63"/>
      <c r="T1364" s="72" t="s">
        <v>48</v>
      </c>
      <c r="U1364" s="109">
        <f>IF($J$1="April",Y1363,Y1363)</f>
        <v>0</v>
      </c>
      <c r="V1364" s="74"/>
      <c r="W1364" s="109">
        <f t="shared" ref="W1364:W1373" si="277">IF(U1364="","",U1364+V1364)</f>
        <v>0</v>
      </c>
      <c r="X1364" s="74"/>
      <c r="Y1364" s="109">
        <f t="shared" ref="Y1364:Y1373" si="278">IF(W1364="","",W1364-X1364)</f>
        <v>0</v>
      </c>
      <c r="Z1364" s="76"/>
    </row>
    <row r="1365" spans="1:27" s="29" customFormat="1" ht="21.4" customHeight="1" x14ac:dyDescent="0.2">
      <c r="A1365" s="30"/>
      <c r="H1365" s="47"/>
      <c r="L1365" s="34"/>
      <c r="N1365" s="71"/>
      <c r="O1365" s="72" t="s">
        <v>49</v>
      </c>
      <c r="P1365" s="72"/>
      <c r="Q1365" s="72"/>
      <c r="R1365" s="72" t="str">
        <f t="shared" si="276"/>
        <v/>
      </c>
      <c r="S1365" s="63"/>
      <c r="T1365" s="72" t="s">
        <v>49</v>
      </c>
      <c r="U1365" s="109">
        <f>IF($J$1="April",Y1364,Y1364)</f>
        <v>0</v>
      </c>
      <c r="V1365" s="74"/>
      <c r="W1365" s="109">
        <f t="shared" si="277"/>
        <v>0</v>
      </c>
      <c r="X1365" s="74"/>
      <c r="Y1365" s="109">
        <f t="shared" si="278"/>
        <v>0</v>
      </c>
      <c r="Z1365" s="76"/>
    </row>
    <row r="1366" spans="1:27" s="29" customFormat="1" ht="21.4" customHeight="1" x14ac:dyDescent="0.2">
      <c r="A1366" s="30"/>
      <c r="B1366" s="472" t="s">
        <v>44</v>
      </c>
      <c r="C1366" s="473"/>
      <c r="F1366" s="48" t="s">
        <v>66</v>
      </c>
      <c r="G1366" s="115">
        <f>IF($J$1="January",U1362,IF($J$1="February",U1363,IF($J$1="March",U1364,IF($J$1="April",U1365,IF($J$1="May",U1366,IF($J$1="June",U1367,IF($J$1="July",U1368,IF($J$1="August",U1369,IF($J$1="August",U1369,IF($J$1="September",U1370,IF($J$1="October",U1371,IF($J$1="November",U1372,IF($J$1="December",U1373)))))))))))))</f>
        <v>0</v>
      </c>
      <c r="H1366" s="47"/>
      <c r="I1366" s="49"/>
      <c r="J1366" s="50" t="s">
        <v>63</v>
      </c>
      <c r="K1366" s="51">
        <f>K1362/$K$2*I1366</f>
        <v>0</v>
      </c>
      <c r="L1366" s="52"/>
      <c r="N1366" s="71"/>
      <c r="O1366" s="72" t="s">
        <v>50</v>
      </c>
      <c r="P1366" s="72"/>
      <c r="Q1366" s="72"/>
      <c r="R1366" s="72" t="str">
        <f t="shared" si="276"/>
        <v/>
      </c>
      <c r="S1366" s="63"/>
      <c r="T1366" s="72" t="s">
        <v>50</v>
      </c>
      <c r="U1366" s="109">
        <f>IF($J$1="May",Y1365,Y1365)</f>
        <v>0</v>
      </c>
      <c r="V1366" s="74"/>
      <c r="W1366" s="109">
        <f t="shared" si="277"/>
        <v>0</v>
      </c>
      <c r="X1366" s="74"/>
      <c r="Y1366" s="109">
        <f t="shared" si="278"/>
        <v>0</v>
      </c>
      <c r="Z1366" s="76"/>
    </row>
    <row r="1367" spans="1:27" s="29" customFormat="1" ht="21.4" customHeight="1" x14ac:dyDescent="0.2">
      <c r="A1367" s="30"/>
      <c r="B1367" s="39"/>
      <c r="C1367" s="39"/>
      <c r="F1367" s="48" t="s">
        <v>22</v>
      </c>
      <c r="G1367" s="115">
        <f>IF($J$1="January",V1362,IF($J$1="February",V1363,IF($J$1="March",V1364,IF($J$1="April",V1365,IF($J$1="May",V1366,IF($J$1="June",V1367,IF($J$1="July",V1368,IF($J$1="August",V1369,IF($J$1="August",V1369,IF($J$1="September",V1370,IF($J$1="October",V1371,IF($J$1="November",V1372,IF($J$1="December",V1373)))))))))))))</f>
        <v>0</v>
      </c>
      <c r="H1367" s="47"/>
      <c r="I1367" s="84"/>
      <c r="J1367" s="50" t="s">
        <v>64</v>
      </c>
      <c r="K1367" s="53">
        <f>K1362/$K$2/8*I1367</f>
        <v>0</v>
      </c>
      <c r="L1367" s="54"/>
      <c r="N1367" s="71"/>
      <c r="O1367" s="72" t="s">
        <v>51</v>
      </c>
      <c r="P1367" s="72"/>
      <c r="Q1367" s="72"/>
      <c r="R1367" s="72" t="str">
        <f t="shared" si="276"/>
        <v/>
      </c>
      <c r="S1367" s="63"/>
      <c r="T1367" s="72" t="s">
        <v>51</v>
      </c>
      <c r="U1367" s="109">
        <f>IF($J$1="May",Y1366,Y1366)</f>
        <v>0</v>
      </c>
      <c r="V1367" s="74"/>
      <c r="W1367" s="109">
        <f t="shared" si="277"/>
        <v>0</v>
      </c>
      <c r="X1367" s="74"/>
      <c r="Y1367" s="109">
        <f t="shared" si="278"/>
        <v>0</v>
      </c>
      <c r="Z1367" s="76"/>
    </row>
    <row r="1368" spans="1:27" s="29" customFormat="1" ht="21.4" customHeight="1" x14ac:dyDescent="0.2">
      <c r="A1368" s="30"/>
      <c r="B1368" s="48" t="s">
        <v>7</v>
      </c>
      <c r="C1368" s="39">
        <f>IF($J$1="January",P1362,IF($J$1="February",P1363,IF($J$1="March",P1364,IF($J$1="April",P1365,IF($J$1="May",P1366,IF($J$1="June",P1367,IF($J$1="July",P1368,IF($J$1="August",P1369,IF($J$1="August",P1369,IF($J$1="September",P1370,IF($J$1="October",P1371,IF($J$1="November",P1372,IF($J$1="December",P1373)))))))))))))</f>
        <v>0</v>
      </c>
      <c r="F1368" s="48" t="s">
        <v>67</v>
      </c>
      <c r="G1368" s="115" t="str">
        <f>IF($J$1="January",W1362,IF($J$1="February",W1363,IF($J$1="March",W1364,IF($J$1="April",W1365,IF($J$1="May",W1366,IF($J$1="June",W1367,IF($J$1="July",W1368,IF($J$1="August",W1369,IF($J$1="August",W1369,IF($J$1="September",W1370,IF($J$1="October",W1371,IF($J$1="November",W1372,IF($J$1="December",W1373)))))))))))))</f>
        <v/>
      </c>
      <c r="H1368" s="47"/>
      <c r="I1368" s="456" t="s">
        <v>71</v>
      </c>
      <c r="J1368" s="457"/>
      <c r="K1368" s="53">
        <f>K1366+K1367</f>
        <v>0</v>
      </c>
      <c r="L1368" s="54"/>
      <c r="N1368" s="71"/>
      <c r="O1368" s="72" t="s">
        <v>52</v>
      </c>
      <c r="P1368" s="72"/>
      <c r="Q1368" s="72"/>
      <c r="R1368" s="72" t="str">
        <f t="shared" si="276"/>
        <v/>
      </c>
      <c r="S1368" s="63"/>
      <c r="T1368" s="72" t="s">
        <v>52</v>
      </c>
      <c r="U1368" s="109">
        <f>Y1367</f>
        <v>0</v>
      </c>
      <c r="V1368" s="74"/>
      <c r="W1368" s="109">
        <f t="shared" si="277"/>
        <v>0</v>
      </c>
      <c r="X1368" s="74"/>
      <c r="Y1368" s="109">
        <f t="shared" si="278"/>
        <v>0</v>
      </c>
      <c r="Z1368" s="76"/>
    </row>
    <row r="1369" spans="1:27" s="29" customFormat="1" ht="21.4" customHeight="1" x14ac:dyDescent="0.2">
      <c r="A1369" s="30"/>
      <c r="B1369" s="48" t="s">
        <v>6</v>
      </c>
      <c r="C1369" s="39">
        <f>IF($J$1="January",Q1362,IF($J$1="February",Q1363,IF($J$1="March",Q1364,IF($J$1="April",Q1365,IF($J$1="May",Q1366,IF($J$1="June",Q1367,IF($J$1="July",Q1368,IF($J$1="August",Q1369,IF($J$1="August",Q1369,IF($J$1="September",Q1370,IF($J$1="October",Q1371,IF($J$1="November",Q1372,IF($J$1="December",Q1373)))))))))))))</f>
        <v>0</v>
      </c>
      <c r="F1369" s="48" t="s">
        <v>23</v>
      </c>
      <c r="G1369" s="115">
        <f>IF($J$1="January",X1362,IF($J$1="February",X1363,IF($J$1="March",X1364,IF($J$1="April",X1365,IF($J$1="May",X1366,IF($J$1="June",X1367,IF($J$1="July",X1368,IF($J$1="August",X1369,IF($J$1="August",X1369,IF($J$1="September",X1370,IF($J$1="October",X1371,IF($J$1="November",X1372,IF($J$1="December",X1373)))))))))))))</f>
        <v>0</v>
      </c>
      <c r="H1369" s="47"/>
      <c r="I1369" s="456" t="s">
        <v>72</v>
      </c>
      <c r="J1369" s="457"/>
      <c r="K1369" s="43">
        <f>G1369</f>
        <v>0</v>
      </c>
      <c r="L1369" s="55"/>
      <c r="N1369" s="71"/>
      <c r="O1369" s="72" t="s">
        <v>53</v>
      </c>
      <c r="P1369" s="72"/>
      <c r="Q1369" s="72"/>
      <c r="R1369" s="72" t="str">
        <f t="shared" si="276"/>
        <v/>
      </c>
      <c r="S1369" s="63"/>
      <c r="T1369" s="72" t="s">
        <v>53</v>
      </c>
      <c r="U1369" s="109">
        <f>Y1368</f>
        <v>0</v>
      </c>
      <c r="V1369" s="74"/>
      <c r="W1369" s="109">
        <f t="shared" si="277"/>
        <v>0</v>
      </c>
      <c r="X1369" s="74"/>
      <c r="Y1369" s="109">
        <f t="shared" si="278"/>
        <v>0</v>
      </c>
      <c r="Z1369" s="76"/>
    </row>
    <row r="1370" spans="1:27" s="29" customFormat="1" ht="21.4" customHeight="1" x14ac:dyDescent="0.2">
      <c r="A1370" s="30"/>
      <c r="B1370" s="56" t="s">
        <v>70</v>
      </c>
      <c r="C1370" s="39" t="str">
        <f>IF($J$1="January",R1362,IF($J$1="February",R1363,IF($J$1="March",R1364,IF($J$1="April",R1365,IF($J$1="May",R1366,IF($J$1="June",R1367,IF($J$1="July",R1368,IF($J$1="August",R1369,IF($J$1="August",R1369,IF($J$1="September",R1370,IF($J$1="October",R1371,IF($J$1="November",R1372,IF($J$1="December",R1373)))))))))))))</f>
        <v/>
      </c>
      <c r="F1370" s="48" t="s">
        <v>69</v>
      </c>
      <c r="G1370" s="115" t="str">
        <f>IF($J$1="January",Y1362,IF($J$1="February",Y1363,IF($J$1="March",Y1364,IF($J$1="April",Y1365,IF($J$1="May",Y1366,IF($J$1="June",Y1367,IF($J$1="July",Y1368,IF($J$1="August",Y1369,IF($J$1="August",Y1369,IF($J$1="September",Y1370,IF($J$1="October",Y1371,IF($J$1="November",Y1372,IF($J$1="December",Y1373)))))))))))))</f>
        <v/>
      </c>
      <c r="I1370" s="458" t="s">
        <v>65</v>
      </c>
      <c r="J1370" s="459"/>
      <c r="K1370" s="57">
        <f>K1368-K1369</f>
        <v>0</v>
      </c>
      <c r="L1370" s="58"/>
      <c r="N1370" s="71"/>
      <c r="O1370" s="72" t="s">
        <v>58</v>
      </c>
      <c r="P1370" s="72"/>
      <c r="Q1370" s="72"/>
      <c r="R1370" s="72" t="str">
        <f t="shared" si="276"/>
        <v/>
      </c>
      <c r="S1370" s="63"/>
      <c r="T1370" s="72" t="s">
        <v>58</v>
      </c>
      <c r="U1370" s="109">
        <f>Y1369</f>
        <v>0</v>
      </c>
      <c r="V1370" s="74"/>
      <c r="W1370" s="109">
        <f t="shared" si="277"/>
        <v>0</v>
      </c>
      <c r="X1370" s="74"/>
      <c r="Y1370" s="109">
        <f t="shared" si="278"/>
        <v>0</v>
      </c>
      <c r="Z1370" s="76"/>
    </row>
    <row r="1371" spans="1:27" s="29" customFormat="1" ht="21.4" customHeight="1" x14ac:dyDescent="0.2">
      <c r="A1371" s="30"/>
      <c r="I1371" s="117"/>
      <c r="K1371" s="113"/>
      <c r="L1371" s="46"/>
      <c r="N1371" s="71"/>
      <c r="O1371" s="72" t="s">
        <v>54</v>
      </c>
      <c r="P1371" s="72"/>
      <c r="Q1371" s="72"/>
      <c r="R1371" s="72" t="str">
        <f t="shared" si="276"/>
        <v/>
      </c>
      <c r="S1371" s="63"/>
      <c r="T1371" s="72" t="s">
        <v>54</v>
      </c>
      <c r="U1371" s="109"/>
      <c r="V1371" s="74"/>
      <c r="W1371" s="109" t="str">
        <f t="shared" si="277"/>
        <v/>
      </c>
      <c r="X1371" s="74"/>
      <c r="Y1371" s="109" t="str">
        <f t="shared" si="278"/>
        <v/>
      </c>
      <c r="Z1371" s="76"/>
    </row>
    <row r="1372" spans="1:27" s="29" customFormat="1" ht="21.4" customHeight="1" x14ac:dyDescent="0.2">
      <c r="A1372" s="30"/>
      <c r="B1372" s="455"/>
      <c r="C1372" s="455"/>
      <c r="D1372" s="455"/>
      <c r="E1372" s="455"/>
      <c r="F1372" s="455"/>
      <c r="G1372" s="455"/>
      <c r="H1372" s="455"/>
      <c r="I1372" s="455"/>
      <c r="J1372" s="455"/>
      <c r="K1372" s="455"/>
      <c r="L1372" s="46"/>
      <c r="N1372" s="71"/>
      <c r="O1372" s="72" t="s">
        <v>59</v>
      </c>
      <c r="P1372" s="72"/>
      <c r="Q1372" s="72"/>
      <c r="R1372" s="72" t="str">
        <f t="shared" si="276"/>
        <v/>
      </c>
      <c r="S1372" s="63"/>
      <c r="T1372" s="72" t="s">
        <v>59</v>
      </c>
      <c r="U1372" s="109"/>
      <c r="V1372" s="74"/>
      <c r="W1372" s="109" t="str">
        <f t="shared" si="277"/>
        <v/>
      </c>
      <c r="X1372" s="74"/>
      <c r="Y1372" s="109" t="str">
        <f t="shared" si="278"/>
        <v/>
      </c>
      <c r="Z1372" s="76"/>
    </row>
    <row r="1373" spans="1:27" s="29" customFormat="1" ht="21.4" customHeight="1" x14ac:dyDescent="0.2">
      <c r="A1373" s="30"/>
      <c r="B1373" s="455"/>
      <c r="C1373" s="455"/>
      <c r="D1373" s="455"/>
      <c r="E1373" s="455"/>
      <c r="F1373" s="455"/>
      <c r="G1373" s="455"/>
      <c r="H1373" s="455"/>
      <c r="I1373" s="455"/>
      <c r="J1373" s="455"/>
      <c r="K1373" s="455"/>
      <c r="L1373" s="46"/>
      <c r="N1373" s="71"/>
      <c r="O1373" s="72" t="s">
        <v>60</v>
      </c>
      <c r="P1373" s="72"/>
      <c r="Q1373" s="72"/>
      <c r="R1373" s="72" t="str">
        <f t="shared" si="276"/>
        <v/>
      </c>
      <c r="S1373" s="63"/>
      <c r="T1373" s="72" t="s">
        <v>60</v>
      </c>
      <c r="U1373" s="109"/>
      <c r="V1373" s="74"/>
      <c r="W1373" s="109" t="str">
        <f t="shared" si="277"/>
        <v/>
      </c>
      <c r="X1373" s="74"/>
      <c r="Y1373" s="109" t="str">
        <f t="shared" si="278"/>
        <v/>
      </c>
      <c r="Z1373" s="76"/>
    </row>
    <row r="1374" spans="1:27" s="29" customFormat="1" ht="21.4" customHeight="1" thickBot="1" x14ac:dyDescent="0.25">
      <c r="A1374" s="59"/>
      <c r="B1374" s="60"/>
      <c r="C1374" s="60"/>
      <c r="D1374" s="60"/>
      <c r="E1374" s="60"/>
      <c r="F1374" s="60"/>
      <c r="G1374" s="60"/>
      <c r="H1374" s="60"/>
      <c r="I1374" s="60"/>
      <c r="J1374" s="60"/>
      <c r="K1374" s="60"/>
      <c r="L1374" s="61"/>
      <c r="N1374" s="77"/>
      <c r="O1374" s="78"/>
      <c r="P1374" s="78"/>
      <c r="Q1374" s="78"/>
      <c r="R1374" s="78"/>
      <c r="S1374" s="78"/>
      <c r="T1374" s="78"/>
      <c r="U1374" s="78"/>
      <c r="V1374" s="78"/>
      <c r="W1374" s="78"/>
      <c r="X1374" s="78"/>
      <c r="Y1374" s="78"/>
      <c r="Z1374" s="79"/>
    </row>
    <row r="1375" spans="1:27" s="29" customFormat="1" ht="21.4" customHeight="1" thickBot="1" x14ac:dyDescent="0.25">
      <c r="N1375" s="63"/>
      <c r="O1375" s="63"/>
      <c r="P1375" s="63"/>
      <c r="Q1375" s="63"/>
      <c r="R1375" s="63"/>
      <c r="S1375" s="63"/>
      <c r="T1375" s="63"/>
      <c r="U1375" s="63"/>
      <c r="V1375" s="63"/>
      <c r="W1375" s="63"/>
      <c r="X1375" s="63"/>
      <c r="Y1375" s="63"/>
      <c r="Z1375" s="63"/>
    </row>
    <row r="1376" spans="1:27" s="29" customFormat="1" ht="21.4" customHeight="1" x14ac:dyDescent="0.2">
      <c r="A1376" s="460" t="s">
        <v>42</v>
      </c>
      <c r="B1376" s="461"/>
      <c r="C1376" s="461"/>
      <c r="D1376" s="461"/>
      <c r="E1376" s="461"/>
      <c r="F1376" s="461"/>
      <c r="G1376" s="461"/>
      <c r="H1376" s="461"/>
      <c r="I1376" s="461"/>
      <c r="J1376" s="461"/>
      <c r="K1376" s="461"/>
      <c r="L1376" s="462"/>
      <c r="M1376" s="28"/>
      <c r="N1376" s="64"/>
      <c r="O1376" s="469" t="s">
        <v>44</v>
      </c>
      <c r="P1376" s="470"/>
      <c r="Q1376" s="470"/>
      <c r="R1376" s="471"/>
      <c r="S1376" s="65"/>
      <c r="T1376" s="469" t="s">
        <v>45</v>
      </c>
      <c r="U1376" s="470"/>
      <c r="V1376" s="470"/>
      <c r="W1376" s="470"/>
      <c r="X1376" s="470"/>
      <c r="Y1376" s="471"/>
      <c r="Z1376" s="66"/>
      <c r="AA1376" s="28"/>
    </row>
    <row r="1377" spans="1:27" s="29" customFormat="1" ht="21.4" customHeight="1" x14ac:dyDescent="0.2">
      <c r="A1377" s="30"/>
      <c r="C1377" s="466" t="s">
        <v>92</v>
      </c>
      <c r="D1377" s="466"/>
      <c r="E1377" s="466"/>
      <c r="F1377" s="466"/>
      <c r="G1377" s="31" t="str">
        <f>$J$1</f>
        <v>October</v>
      </c>
      <c r="H1377" s="467">
        <f>$K$1</f>
        <v>2022</v>
      </c>
      <c r="I1377" s="467"/>
      <c r="K1377" s="32"/>
      <c r="L1377" s="33"/>
      <c r="M1377" s="32"/>
      <c r="N1377" s="67"/>
      <c r="O1377" s="68" t="s">
        <v>55</v>
      </c>
      <c r="P1377" s="68" t="s">
        <v>7</v>
      </c>
      <c r="Q1377" s="68" t="s">
        <v>6</v>
      </c>
      <c r="R1377" s="68" t="s">
        <v>56</v>
      </c>
      <c r="S1377" s="69"/>
      <c r="T1377" s="68" t="s">
        <v>55</v>
      </c>
      <c r="U1377" s="68" t="s">
        <v>57</v>
      </c>
      <c r="V1377" s="68" t="s">
        <v>22</v>
      </c>
      <c r="W1377" s="68" t="s">
        <v>21</v>
      </c>
      <c r="X1377" s="68" t="s">
        <v>23</v>
      </c>
      <c r="Y1377" s="68" t="s">
        <v>61</v>
      </c>
      <c r="Z1377" s="70"/>
      <c r="AA1377" s="32"/>
    </row>
    <row r="1378" spans="1:27" s="29" customFormat="1" ht="21.4" customHeight="1" x14ac:dyDescent="0.2">
      <c r="A1378" s="30"/>
      <c r="D1378" s="35"/>
      <c r="E1378" s="35"/>
      <c r="F1378" s="35"/>
      <c r="G1378" s="35"/>
      <c r="H1378" s="35"/>
      <c r="J1378" s="36" t="s">
        <v>1</v>
      </c>
      <c r="K1378" s="37"/>
      <c r="L1378" s="38"/>
      <c r="N1378" s="71"/>
      <c r="O1378" s="72" t="s">
        <v>47</v>
      </c>
      <c r="P1378" s="72"/>
      <c r="Q1378" s="72"/>
      <c r="R1378" s="72"/>
      <c r="S1378" s="73"/>
      <c r="T1378" s="72" t="s">
        <v>47</v>
      </c>
      <c r="U1378" s="74"/>
      <c r="V1378" s="74"/>
      <c r="W1378" s="74">
        <f>V1378+U1378</f>
        <v>0</v>
      </c>
      <c r="X1378" s="74"/>
      <c r="Y1378" s="74">
        <f>W1378-X1378</f>
        <v>0</v>
      </c>
      <c r="Z1378" s="70"/>
    </row>
    <row r="1379" spans="1:27" s="29" customFormat="1" ht="21.4" customHeight="1" x14ac:dyDescent="0.2">
      <c r="A1379" s="30"/>
      <c r="B1379" s="29" t="s">
        <v>0</v>
      </c>
      <c r="C1379" s="40"/>
      <c r="H1379" s="41"/>
      <c r="I1379" s="35"/>
      <c r="L1379" s="42"/>
      <c r="M1379" s="28"/>
      <c r="N1379" s="75"/>
      <c r="O1379" s="72" t="s">
        <v>73</v>
      </c>
      <c r="P1379" s="72"/>
      <c r="Q1379" s="72"/>
      <c r="R1379" s="72" t="str">
        <f t="shared" ref="R1379:R1389" si="279">IF(Q1379="","",R1378-Q1379)</f>
        <v/>
      </c>
      <c r="S1379" s="63"/>
      <c r="T1379" s="72" t="s">
        <v>73</v>
      </c>
      <c r="U1379" s="109" t="str">
        <f>IF($J$1="February",Y1378,"")</f>
        <v/>
      </c>
      <c r="V1379" s="74"/>
      <c r="W1379" s="109" t="str">
        <f>IF(U1379="","",U1379+V1379)</f>
        <v/>
      </c>
      <c r="X1379" s="74"/>
      <c r="Y1379" s="109" t="str">
        <f>IF(W1379="","",W1379-X1379)</f>
        <v/>
      </c>
      <c r="Z1379" s="76"/>
      <c r="AA1379" s="28"/>
    </row>
    <row r="1380" spans="1:27" s="29" customFormat="1" ht="21.4" customHeight="1" x14ac:dyDescent="0.2">
      <c r="A1380" s="30"/>
      <c r="B1380" s="44" t="s">
        <v>43</v>
      </c>
      <c r="C1380" s="45"/>
      <c r="F1380" s="468" t="s">
        <v>45</v>
      </c>
      <c r="G1380" s="468"/>
      <c r="I1380" s="468" t="s">
        <v>46</v>
      </c>
      <c r="J1380" s="468"/>
      <c r="K1380" s="468"/>
      <c r="L1380" s="46"/>
      <c r="N1380" s="71"/>
      <c r="O1380" s="72" t="s">
        <v>48</v>
      </c>
      <c r="P1380" s="72"/>
      <c r="Q1380" s="72"/>
      <c r="R1380" s="72"/>
      <c r="S1380" s="63"/>
      <c r="T1380" s="72" t="s">
        <v>48</v>
      </c>
      <c r="U1380" s="109" t="str">
        <f>IF($J$1="April",Y1379,Y1379)</f>
        <v/>
      </c>
      <c r="V1380" s="74"/>
      <c r="W1380" s="109" t="str">
        <f t="shared" ref="W1380:W1389" si="280">IF(U1380="","",U1380+V1380)</f>
        <v/>
      </c>
      <c r="X1380" s="74"/>
      <c r="Y1380" s="109" t="str">
        <f t="shared" ref="Y1380:Y1389" si="281">IF(W1380="","",W1380-X1380)</f>
        <v/>
      </c>
      <c r="Z1380" s="76"/>
    </row>
    <row r="1381" spans="1:27" s="29" customFormat="1" ht="21.4" customHeight="1" x14ac:dyDescent="0.2">
      <c r="A1381" s="30"/>
      <c r="H1381" s="47"/>
      <c r="L1381" s="34"/>
      <c r="N1381" s="71"/>
      <c r="O1381" s="72" t="s">
        <v>49</v>
      </c>
      <c r="P1381" s="72"/>
      <c r="Q1381" s="72"/>
      <c r="R1381" s="72" t="str">
        <f t="shared" si="279"/>
        <v/>
      </c>
      <c r="S1381" s="63"/>
      <c r="T1381" s="72" t="s">
        <v>49</v>
      </c>
      <c r="U1381" s="109" t="str">
        <f>IF($J$1="April",Y1380,Y1380)</f>
        <v/>
      </c>
      <c r="V1381" s="74"/>
      <c r="W1381" s="109" t="str">
        <f t="shared" si="280"/>
        <v/>
      </c>
      <c r="X1381" s="74"/>
      <c r="Y1381" s="109" t="str">
        <f t="shared" si="281"/>
        <v/>
      </c>
      <c r="Z1381" s="76"/>
    </row>
    <row r="1382" spans="1:27" s="29" customFormat="1" ht="21.4" customHeight="1" x14ac:dyDescent="0.2">
      <c r="A1382" s="30"/>
      <c r="B1382" s="472" t="s">
        <v>44</v>
      </c>
      <c r="C1382" s="473"/>
      <c r="F1382" s="48" t="s">
        <v>66</v>
      </c>
      <c r="G1382" s="43" t="str">
        <f>IF($J$1="January",U1378,IF($J$1="February",U1379,IF($J$1="March",U1380,IF($J$1="April",U1381,IF($J$1="May",U1382,IF($J$1="June",U1383,IF($J$1="July",U1384,IF($J$1="August",U1385,IF($J$1="August",U1385,IF($J$1="September",U1386,IF($J$1="October",U1387,IF($J$1="November",U1388,IF($J$1="December",U1389)))))))))))))</f>
        <v/>
      </c>
      <c r="H1382" s="47"/>
      <c r="I1382" s="49"/>
      <c r="J1382" s="50" t="s">
        <v>63</v>
      </c>
      <c r="K1382" s="51">
        <f>K1378/$K$2*I1382</f>
        <v>0</v>
      </c>
      <c r="L1382" s="52"/>
      <c r="N1382" s="71"/>
      <c r="O1382" s="72" t="s">
        <v>50</v>
      </c>
      <c r="P1382" s="72"/>
      <c r="Q1382" s="72"/>
      <c r="R1382" s="72" t="str">
        <f t="shared" si="279"/>
        <v/>
      </c>
      <c r="S1382" s="63"/>
      <c r="T1382" s="72" t="s">
        <v>50</v>
      </c>
      <c r="U1382" s="109" t="str">
        <f>IF($J$1="May",Y1381,Y1381)</f>
        <v/>
      </c>
      <c r="V1382" s="74"/>
      <c r="W1382" s="109" t="str">
        <f t="shared" si="280"/>
        <v/>
      </c>
      <c r="X1382" s="74"/>
      <c r="Y1382" s="109" t="str">
        <f t="shared" si="281"/>
        <v/>
      </c>
      <c r="Z1382" s="76"/>
    </row>
    <row r="1383" spans="1:27" s="29" customFormat="1" ht="21.4" customHeight="1" x14ac:dyDescent="0.2">
      <c r="A1383" s="30"/>
      <c r="B1383" s="39"/>
      <c r="C1383" s="39"/>
      <c r="F1383" s="48" t="s">
        <v>22</v>
      </c>
      <c r="G1383" s="115">
        <f>IF($J$1="January",V1378,IF($J$1="February",V1379,IF($J$1="March",V1380,IF($J$1="April",V1381,IF($J$1="May",V1382,IF($J$1="June",V1383,IF($J$1="July",V1384,IF($J$1="August",V1385,IF($J$1="August",V1385,IF($J$1="September",V1386,IF($J$1="October",V1387,IF($J$1="November",V1388,IF($J$1="December",V1389)))))))))))))</f>
        <v>0</v>
      </c>
      <c r="H1383" s="47"/>
      <c r="I1383" s="84"/>
      <c r="J1383" s="50" t="s">
        <v>64</v>
      </c>
      <c r="K1383" s="53"/>
      <c r="L1383" s="54"/>
      <c r="N1383" s="71"/>
      <c r="O1383" s="72" t="s">
        <v>51</v>
      </c>
      <c r="P1383" s="72"/>
      <c r="Q1383" s="72"/>
      <c r="R1383" s="72" t="str">
        <f t="shared" si="279"/>
        <v/>
      </c>
      <c r="S1383" s="63"/>
      <c r="T1383" s="72" t="s">
        <v>51</v>
      </c>
      <c r="U1383" s="109" t="str">
        <f>IF($J$1="May",Y1382,Y1382)</f>
        <v/>
      </c>
      <c r="V1383" s="74"/>
      <c r="W1383" s="109" t="str">
        <f t="shared" si="280"/>
        <v/>
      </c>
      <c r="X1383" s="74"/>
      <c r="Y1383" s="109" t="str">
        <f t="shared" si="281"/>
        <v/>
      </c>
      <c r="Z1383" s="76"/>
    </row>
    <row r="1384" spans="1:27" s="29" customFormat="1" ht="21.4" customHeight="1" x14ac:dyDescent="0.2">
      <c r="A1384" s="30"/>
      <c r="B1384" s="48" t="s">
        <v>7</v>
      </c>
      <c r="C1384" s="39">
        <f>IF($J$1="January",P1378,IF($J$1="February",P1379,IF($J$1="March",P1380,IF($J$1="April",P1381,IF($J$1="May",P1382,IF($J$1="June",P1383,IF($J$1="July",P1384,IF($J$1="August",P1385,IF($J$1="August",P1385,IF($J$1="September",P1386,IF($J$1="October",P1387,IF($J$1="November",P1388,IF($J$1="December",P1389)))))))))))))</f>
        <v>0</v>
      </c>
      <c r="F1384" s="48" t="s">
        <v>67</v>
      </c>
      <c r="G1384" s="115" t="str">
        <f>IF($J$1="January",W1378,IF($J$1="February",W1379,IF($J$1="March",W1380,IF($J$1="April",W1381,IF($J$1="May",W1382,IF($J$1="June",W1383,IF($J$1="July",W1384,IF($J$1="August",W1385,IF($J$1="August",W1385,IF($J$1="September",W1386,IF($J$1="October",W1387,IF($J$1="November",W1388,IF($J$1="December",W1389)))))))))))))</f>
        <v/>
      </c>
      <c r="H1384" s="47"/>
      <c r="I1384" s="456" t="s">
        <v>71</v>
      </c>
      <c r="J1384" s="457"/>
      <c r="K1384" s="53">
        <f>K1382+K1383</f>
        <v>0</v>
      </c>
      <c r="L1384" s="54"/>
      <c r="N1384" s="71"/>
      <c r="O1384" s="72" t="s">
        <v>52</v>
      </c>
      <c r="P1384" s="72"/>
      <c r="Q1384" s="72"/>
      <c r="R1384" s="72">
        <v>0</v>
      </c>
      <c r="S1384" s="63"/>
      <c r="T1384" s="72" t="s">
        <v>52</v>
      </c>
      <c r="U1384" s="109" t="str">
        <f>IF($J$1="July",Y1383,"")</f>
        <v/>
      </c>
      <c r="V1384" s="74"/>
      <c r="W1384" s="109" t="str">
        <f t="shared" si="280"/>
        <v/>
      </c>
      <c r="X1384" s="74"/>
      <c r="Y1384" s="109" t="str">
        <f t="shared" si="281"/>
        <v/>
      </c>
      <c r="Z1384" s="76"/>
    </row>
    <row r="1385" spans="1:27" s="29" customFormat="1" ht="21.4" customHeight="1" x14ac:dyDescent="0.2">
      <c r="A1385" s="30"/>
      <c r="B1385" s="48" t="s">
        <v>6</v>
      </c>
      <c r="C1385" s="39">
        <f>IF($J$1="January",Q1378,IF($J$1="February",Q1379,IF($J$1="March",Q1380,IF($J$1="April",Q1381,IF($J$1="May",Q1382,IF($J$1="June",Q1383,IF($J$1="July",Q1384,IF($J$1="August",Q1385,IF($J$1="August",Q1385,IF($J$1="September",Q1386,IF($J$1="October",Q1387,IF($J$1="November",Q1388,IF($J$1="December",Q1389)))))))))))))</f>
        <v>0</v>
      </c>
      <c r="F1385" s="48" t="s">
        <v>23</v>
      </c>
      <c r="G1385" s="115">
        <f>IF($J$1="January",X1378,IF($J$1="February",X1379,IF($J$1="March",X1380,IF($J$1="April",X1381,IF($J$1="May",X1382,IF($J$1="June",X1383,IF($J$1="July",X1384,IF($J$1="August",X1385,IF($J$1="August",X1385,IF($J$1="September",X1386,IF($J$1="October",X1387,IF($J$1="November",X1388,IF($J$1="December",X1389)))))))))))))</f>
        <v>0</v>
      </c>
      <c r="H1385" s="47"/>
      <c r="I1385" s="456" t="s">
        <v>72</v>
      </c>
      <c r="J1385" s="457"/>
      <c r="K1385" s="43">
        <f>G1385</f>
        <v>0</v>
      </c>
      <c r="L1385" s="55"/>
      <c r="N1385" s="71"/>
      <c r="O1385" s="72" t="s">
        <v>53</v>
      </c>
      <c r="P1385" s="72"/>
      <c r="Q1385" s="72"/>
      <c r="R1385" s="72" t="str">
        <f t="shared" si="279"/>
        <v/>
      </c>
      <c r="S1385" s="63"/>
      <c r="T1385" s="72" t="s">
        <v>53</v>
      </c>
      <c r="U1385" s="109" t="str">
        <f>IF($J$1="August",Y1384,"")</f>
        <v/>
      </c>
      <c r="V1385" s="74"/>
      <c r="W1385" s="109" t="str">
        <f t="shared" si="280"/>
        <v/>
      </c>
      <c r="X1385" s="74"/>
      <c r="Y1385" s="109" t="str">
        <f t="shared" si="281"/>
        <v/>
      </c>
      <c r="Z1385" s="76"/>
    </row>
    <row r="1386" spans="1:27" s="29" customFormat="1" ht="21.4" customHeight="1" x14ac:dyDescent="0.2">
      <c r="A1386" s="30"/>
      <c r="B1386" s="56" t="s">
        <v>70</v>
      </c>
      <c r="C1386" s="39">
        <f>IF($J$1="January",R1378,IF($J$1="February",R1379,IF($J$1="March",R1380,IF($J$1="April",R1381,IF($J$1="May",R1382,IF($J$1="June",R1383,IF($J$1="July",R1384,IF($J$1="August",R1385,IF($J$1="August",R1385,IF($J$1="September",R1386,IF($J$1="October",R1387,IF($J$1="November",R1388,IF($J$1="December",R1389)))))))))))))</f>
        <v>0</v>
      </c>
      <c r="F1386" s="48" t="s">
        <v>69</v>
      </c>
      <c r="G1386" s="115" t="str">
        <f>IF($J$1="January",Y1378,IF($J$1="February",Y1379,IF($J$1="March",Y1380,IF($J$1="April",Y1381,IF($J$1="May",Y1382,IF($J$1="June",Y1383,IF($J$1="July",Y1384,IF($J$1="August",Y1385,IF($J$1="August",Y1385,IF($J$1="September",Y1386,IF($J$1="October",Y1387,IF($J$1="November",Y1388,IF($J$1="December",Y1389)))))))))))))</f>
        <v/>
      </c>
      <c r="I1386" s="458" t="s">
        <v>65</v>
      </c>
      <c r="J1386" s="459"/>
      <c r="K1386" s="57">
        <f>K1384-K1385</f>
        <v>0</v>
      </c>
      <c r="L1386" s="58"/>
      <c r="N1386" s="71"/>
      <c r="O1386" s="72" t="s">
        <v>58</v>
      </c>
      <c r="P1386" s="72"/>
      <c r="Q1386" s="72"/>
      <c r="R1386" s="72" t="str">
        <f t="shared" si="279"/>
        <v/>
      </c>
      <c r="S1386" s="63"/>
      <c r="T1386" s="72" t="s">
        <v>58</v>
      </c>
      <c r="U1386" s="109" t="str">
        <f>IF($J$1="Sept",Y1385,"")</f>
        <v/>
      </c>
      <c r="V1386" s="74"/>
      <c r="W1386" s="109" t="str">
        <f t="shared" si="280"/>
        <v/>
      </c>
      <c r="X1386" s="74"/>
      <c r="Y1386" s="109" t="str">
        <f t="shared" si="281"/>
        <v/>
      </c>
      <c r="Z1386" s="76"/>
    </row>
    <row r="1387" spans="1:27" s="29" customFormat="1" ht="21.4" customHeight="1" x14ac:dyDescent="0.2">
      <c r="A1387" s="30"/>
      <c r="L1387" s="46"/>
      <c r="N1387" s="71"/>
      <c r="O1387" s="72" t="s">
        <v>54</v>
      </c>
      <c r="P1387" s="72"/>
      <c r="Q1387" s="72"/>
      <c r="R1387" s="72">
        <v>0</v>
      </c>
      <c r="S1387" s="63"/>
      <c r="T1387" s="72" t="s">
        <v>54</v>
      </c>
      <c r="U1387" s="109" t="str">
        <f>IF($J$1="October",Y1386,"")</f>
        <v/>
      </c>
      <c r="V1387" s="74"/>
      <c r="W1387" s="109" t="str">
        <f t="shared" si="280"/>
        <v/>
      </c>
      <c r="X1387" s="74"/>
      <c r="Y1387" s="109" t="str">
        <f t="shared" si="281"/>
        <v/>
      </c>
      <c r="Z1387" s="76"/>
    </row>
    <row r="1388" spans="1:27" s="29" customFormat="1" ht="21.4" customHeight="1" x14ac:dyDescent="0.2">
      <c r="A1388" s="30"/>
      <c r="B1388" s="455" t="s">
        <v>94</v>
      </c>
      <c r="C1388" s="455"/>
      <c r="D1388" s="455"/>
      <c r="E1388" s="455"/>
      <c r="F1388" s="455"/>
      <c r="G1388" s="455"/>
      <c r="H1388" s="455"/>
      <c r="I1388" s="455"/>
      <c r="J1388" s="455"/>
      <c r="K1388" s="455"/>
      <c r="L1388" s="46"/>
      <c r="N1388" s="71"/>
      <c r="O1388" s="72" t="s">
        <v>59</v>
      </c>
      <c r="P1388" s="72"/>
      <c r="Q1388" s="72"/>
      <c r="R1388" s="72">
        <v>0</v>
      </c>
      <c r="S1388" s="63"/>
      <c r="T1388" s="72" t="s">
        <v>59</v>
      </c>
      <c r="U1388" s="109" t="str">
        <f>IF($J$1="November",Y1387,"")</f>
        <v/>
      </c>
      <c r="V1388" s="74"/>
      <c r="W1388" s="109" t="str">
        <f t="shared" si="280"/>
        <v/>
      </c>
      <c r="X1388" s="74"/>
      <c r="Y1388" s="109" t="str">
        <f t="shared" si="281"/>
        <v/>
      </c>
      <c r="Z1388" s="76"/>
    </row>
    <row r="1389" spans="1:27" s="29" customFormat="1" ht="21.4" customHeight="1" x14ac:dyDescent="0.2">
      <c r="A1389" s="30"/>
      <c r="B1389" s="455"/>
      <c r="C1389" s="455"/>
      <c r="D1389" s="455"/>
      <c r="E1389" s="455"/>
      <c r="F1389" s="455"/>
      <c r="G1389" s="455"/>
      <c r="H1389" s="455"/>
      <c r="I1389" s="455"/>
      <c r="J1389" s="455"/>
      <c r="K1389" s="455"/>
      <c r="L1389" s="46"/>
      <c r="N1389" s="71"/>
      <c r="O1389" s="72" t="s">
        <v>60</v>
      </c>
      <c r="P1389" s="72"/>
      <c r="Q1389" s="72"/>
      <c r="R1389" s="72" t="str">
        <f t="shared" si="279"/>
        <v/>
      </c>
      <c r="S1389" s="63"/>
      <c r="T1389" s="72" t="s">
        <v>60</v>
      </c>
      <c r="U1389" s="109" t="str">
        <f>IF($J$1="Dec",Y1388,"")</f>
        <v/>
      </c>
      <c r="V1389" s="74"/>
      <c r="W1389" s="109" t="str">
        <f t="shared" si="280"/>
        <v/>
      </c>
      <c r="X1389" s="74"/>
      <c r="Y1389" s="109" t="str">
        <f t="shared" si="281"/>
        <v/>
      </c>
      <c r="Z1389" s="76"/>
    </row>
    <row r="1390" spans="1:27" s="29" customFormat="1" ht="21.4" customHeight="1" thickBot="1" x14ac:dyDescent="0.25">
      <c r="A1390" s="59"/>
      <c r="B1390" s="60"/>
      <c r="C1390" s="60"/>
      <c r="D1390" s="60"/>
      <c r="E1390" s="60"/>
      <c r="F1390" s="60"/>
      <c r="G1390" s="60"/>
      <c r="H1390" s="60"/>
      <c r="I1390" s="60"/>
      <c r="J1390" s="60"/>
      <c r="K1390" s="60"/>
      <c r="L1390" s="61"/>
      <c r="N1390" s="77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9"/>
    </row>
    <row r="1391" spans="1:27" s="29" customFormat="1" ht="21.4" customHeight="1" thickBot="1" x14ac:dyDescent="0.25">
      <c r="A1391" s="460"/>
      <c r="B1391" s="461"/>
      <c r="C1391" s="461"/>
      <c r="D1391" s="461"/>
      <c r="E1391" s="461"/>
      <c r="F1391" s="461"/>
      <c r="G1391" s="461"/>
      <c r="H1391" s="461"/>
      <c r="I1391" s="461"/>
      <c r="J1391" s="461"/>
      <c r="K1391" s="461"/>
      <c r="L1391" s="462"/>
      <c r="N1391" s="63"/>
      <c r="O1391" s="63"/>
      <c r="P1391" s="63"/>
      <c r="Q1391" s="63"/>
      <c r="R1391" s="63"/>
      <c r="S1391" s="63"/>
      <c r="T1391" s="63"/>
      <c r="U1391" s="63"/>
      <c r="V1391" s="63"/>
      <c r="W1391" s="63"/>
      <c r="X1391" s="63"/>
      <c r="Y1391" s="63"/>
      <c r="Z1391" s="63"/>
    </row>
    <row r="1392" spans="1:27" s="29" customFormat="1" ht="21.4" customHeight="1" x14ac:dyDescent="0.2">
      <c r="A1392" s="30" t="s">
        <v>42</v>
      </c>
      <c r="C1392" s="466"/>
      <c r="D1392" s="466"/>
      <c r="E1392" s="466"/>
      <c r="F1392" s="466"/>
      <c r="G1392" s="31"/>
      <c r="H1392" s="467"/>
      <c r="I1392" s="467"/>
      <c r="K1392" s="32"/>
      <c r="L1392" s="33"/>
      <c r="M1392" s="28"/>
      <c r="N1392" s="64"/>
      <c r="O1392" s="469" t="s">
        <v>44</v>
      </c>
      <c r="P1392" s="470"/>
      <c r="Q1392" s="470"/>
      <c r="R1392" s="471"/>
      <c r="S1392" s="65"/>
      <c r="T1392" s="469" t="s">
        <v>45</v>
      </c>
      <c r="U1392" s="470"/>
      <c r="V1392" s="470"/>
      <c r="W1392" s="470"/>
      <c r="X1392" s="470"/>
      <c r="Y1392" s="471"/>
      <c r="Z1392" s="66"/>
      <c r="AA1392" s="28"/>
    </row>
    <row r="1393" spans="1:27" s="29" customFormat="1" ht="21.4" customHeight="1" x14ac:dyDescent="0.2">
      <c r="A1393" s="30"/>
      <c r="C1393" s="29" t="s">
        <v>92</v>
      </c>
      <c r="D1393" s="35"/>
      <c r="E1393" s="35"/>
      <c r="F1393" s="35"/>
      <c r="G1393" s="35" t="str">
        <f>$J$1</f>
        <v>October</v>
      </c>
      <c r="H1393" s="35">
        <f>$K$1</f>
        <v>2022</v>
      </c>
      <c r="J1393" s="36"/>
      <c r="K1393" s="37"/>
      <c r="L1393" s="38"/>
      <c r="M1393" s="32"/>
      <c r="N1393" s="67"/>
      <c r="O1393" s="68" t="s">
        <v>55</v>
      </c>
      <c r="P1393" s="68" t="s">
        <v>7</v>
      </c>
      <c r="Q1393" s="68" t="s">
        <v>6</v>
      </c>
      <c r="R1393" s="68" t="s">
        <v>56</v>
      </c>
      <c r="S1393" s="69"/>
      <c r="T1393" s="68" t="s">
        <v>55</v>
      </c>
      <c r="U1393" s="68" t="s">
        <v>57</v>
      </c>
      <c r="V1393" s="68" t="s">
        <v>22</v>
      </c>
      <c r="W1393" s="68" t="s">
        <v>21</v>
      </c>
      <c r="X1393" s="68" t="s">
        <v>23</v>
      </c>
      <c r="Y1393" s="68" t="s">
        <v>61</v>
      </c>
      <c r="Z1393" s="70"/>
      <c r="AA1393" s="32"/>
    </row>
    <row r="1394" spans="1:27" s="29" customFormat="1" ht="21.4" customHeight="1" x14ac:dyDescent="0.2">
      <c r="A1394" s="30"/>
      <c r="C1394" s="40"/>
      <c r="H1394" s="41"/>
      <c r="I1394" s="35"/>
      <c r="J1394" s="29" t="s">
        <v>1</v>
      </c>
      <c r="L1394" s="42"/>
      <c r="N1394" s="71"/>
      <c r="O1394" s="72" t="s">
        <v>47</v>
      </c>
      <c r="P1394" s="72"/>
      <c r="Q1394" s="72"/>
      <c r="R1394" s="72">
        <v>0</v>
      </c>
      <c r="S1394" s="73"/>
      <c r="T1394" s="72" t="s">
        <v>47</v>
      </c>
      <c r="U1394" s="74"/>
      <c r="V1394" s="74"/>
      <c r="W1394" s="74">
        <f>V1394+U1394</f>
        <v>0</v>
      </c>
      <c r="X1394" s="74"/>
      <c r="Y1394" s="74">
        <f>W1394-X1394</f>
        <v>0</v>
      </c>
      <c r="Z1394" s="70"/>
    </row>
    <row r="1395" spans="1:27" s="29" customFormat="1" ht="21.4" customHeight="1" x14ac:dyDescent="0.2">
      <c r="A1395" s="30"/>
      <c r="B1395" s="44" t="s">
        <v>0</v>
      </c>
      <c r="C1395" s="45"/>
      <c r="F1395" s="468"/>
      <c r="G1395" s="468"/>
      <c r="I1395" s="468"/>
      <c r="J1395" s="468"/>
      <c r="K1395" s="468"/>
      <c r="L1395" s="46"/>
      <c r="M1395" s="28"/>
      <c r="N1395" s="75"/>
      <c r="O1395" s="72" t="s">
        <v>73</v>
      </c>
      <c r="P1395" s="72"/>
      <c r="Q1395" s="72"/>
      <c r="R1395" s="72" t="str">
        <f>IF(Q1395="","",R1394-Q1395)</f>
        <v/>
      </c>
      <c r="S1395" s="63"/>
      <c r="T1395" s="72" t="s">
        <v>73</v>
      </c>
      <c r="U1395" s="109">
        <f>Y1394</f>
        <v>0</v>
      </c>
      <c r="V1395" s="74"/>
      <c r="W1395" s="109">
        <f>IF(U1395="","",U1395+V1395)</f>
        <v>0</v>
      </c>
      <c r="X1395" s="74"/>
      <c r="Y1395" s="109">
        <f>IF(W1395="","",W1395-X1395)</f>
        <v>0</v>
      </c>
      <c r="Z1395" s="76"/>
      <c r="AA1395" s="28"/>
    </row>
    <row r="1396" spans="1:27" s="29" customFormat="1" ht="21.4" customHeight="1" x14ac:dyDescent="0.2">
      <c r="A1396" s="30"/>
      <c r="B1396" s="29" t="s">
        <v>43</v>
      </c>
      <c r="F1396" s="29" t="s">
        <v>45</v>
      </c>
      <c r="H1396" s="47"/>
      <c r="I1396" s="29" t="s">
        <v>46</v>
      </c>
      <c r="L1396" s="34"/>
      <c r="N1396" s="71"/>
      <c r="O1396" s="72" t="s">
        <v>48</v>
      </c>
      <c r="P1396" s="72"/>
      <c r="Q1396" s="72"/>
      <c r="R1396" s="72" t="str">
        <f t="shared" ref="R1396:R1404" si="282">IF(Q1396="","",R1395-Q1396)</f>
        <v/>
      </c>
      <c r="S1396" s="63"/>
      <c r="T1396" s="72" t="s">
        <v>48</v>
      </c>
      <c r="U1396" s="109">
        <f>IF($J$1="April",Y1395,Y1395)</f>
        <v>0</v>
      </c>
      <c r="V1396" s="74"/>
      <c r="W1396" s="109">
        <f t="shared" ref="W1396:W1405" si="283">IF(U1396="","",U1396+V1396)</f>
        <v>0</v>
      </c>
      <c r="X1396" s="74"/>
      <c r="Y1396" s="109">
        <f t="shared" ref="Y1396:Y1405" si="284">IF(W1396="","",W1396-X1396)</f>
        <v>0</v>
      </c>
      <c r="Z1396" s="76"/>
    </row>
    <row r="1397" spans="1:27" s="29" customFormat="1" ht="21.4" customHeight="1" x14ac:dyDescent="0.2">
      <c r="A1397" s="30"/>
      <c r="B1397" s="472"/>
      <c r="C1397" s="473"/>
      <c r="F1397" s="48"/>
      <c r="G1397" s="43"/>
      <c r="H1397" s="47"/>
      <c r="I1397" s="49"/>
      <c r="J1397" s="50"/>
      <c r="K1397" s="51"/>
      <c r="L1397" s="52"/>
      <c r="N1397" s="71"/>
      <c r="O1397" s="72" t="s">
        <v>49</v>
      </c>
      <c r="P1397" s="72"/>
      <c r="Q1397" s="72"/>
      <c r="R1397" s="72" t="str">
        <f t="shared" si="282"/>
        <v/>
      </c>
      <c r="S1397" s="63"/>
      <c r="T1397" s="72" t="s">
        <v>49</v>
      </c>
      <c r="U1397" s="109">
        <f>IF($J$1="April",Y1396,Y1396)</f>
        <v>0</v>
      </c>
      <c r="V1397" s="74"/>
      <c r="W1397" s="109">
        <f t="shared" si="283"/>
        <v>0</v>
      </c>
      <c r="X1397" s="74"/>
      <c r="Y1397" s="109">
        <f t="shared" si="284"/>
        <v>0</v>
      </c>
      <c r="Z1397" s="76"/>
    </row>
    <row r="1398" spans="1:27" s="29" customFormat="1" ht="21.4" customHeight="1" x14ac:dyDescent="0.2">
      <c r="A1398" s="30"/>
      <c r="B1398" s="39" t="s">
        <v>44</v>
      </c>
      <c r="C1398" s="39"/>
      <c r="F1398" s="48" t="s">
        <v>66</v>
      </c>
      <c r="G1398" s="115" t="str">
        <f>IF($J$1="January",U1394,IF($J$1="February",U1395,IF($J$1="March",U1396,IF($J$1="April",U1397,IF($J$1="May",U1398,IF($J$1="June",U1399,IF($J$1="July",U1400,IF($J$1="August",U1401,IF($J$1="August",U1401,IF($J$1="September",U1402,IF($J$1="October",U1403,IF($J$1="November",U1404,IF($J$1="December",U1405)))))))))))))</f>
        <v/>
      </c>
      <c r="H1398" s="47"/>
      <c r="I1398" s="84">
        <f>IF(C1402&gt;0,$K$2,C1400)</f>
        <v>31</v>
      </c>
      <c r="J1398" s="50" t="s">
        <v>63</v>
      </c>
      <c r="K1398" s="53">
        <f>K1394/$K$2*I1398</f>
        <v>0</v>
      </c>
      <c r="L1398" s="54"/>
      <c r="N1398" s="71"/>
      <c r="O1398" s="72" t="s">
        <v>50</v>
      </c>
      <c r="P1398" s="72"/>
      <c r="Q1398" s="72"/>
      <c r="R1398" s="72">
        <v>0</v>
      </c>
      <c r="S1398" s="63"/>
      <c r="T1398" s="72" t="s">
        <v>50</v>
      </c>
      <c r="U1398" s="109">
        <f>IF($J$1="May",Y1397,Y1397)</f>
        <v>0</v>
      </c>
      <c r="V1398" s="74"/>
      <c r="W1398" s="109">
        <f t="shared" si="283"/>
        <v>0</v>
      </c>
      <c r="X1398" s="74"/>
      <c r="Y1398" s="109">
        <f t="shared" si="284"/>
        <v>0</v>
      </c>
      <c r="Z1398" s="76"/>
    </row>
    <row r="1399" spans="1:27" s="29" customFormat="1" ht="21.4" customHeight="1" x14ac:dyDescent="0.2">
      <c r="A1399" s="30"/>
      <c r="B1399" s="48"/>
      <c r="C1399" s="39"/>
      <c r="F1399" s="48" t="s">
        <v>22</v>
      </c>
      <c r="G1399" s="115">
        <f>IF($J$1="January",V1394,IF($J$1="February",V1395,IF($J$1="March",V1396,IF($J$1="April",V1397,IF($J$1="May",V1398,IF($J$1="June",V1399,IF($J$1="July",V1400,IF($J$1="August",V1401,IF($J$1="August",V1401,IF($J$1="September",V1402,IF($J$1="October",V1403,IF($J$1="November",V1404,IF($J$1="December",V1405)))))))))))))</f>
        <v>0</v>
      </c>
      <c r="H1399" s="47"/>
      <c r="I1399" s="456"/>
      <c r="J1399" s="457" t="s">
        <v>64</v>
      </c>
      <c r="K1399" s="53">
        <f>K1394/$K$2/8*I1399</f>
        <v>0</v>
      </c>
      <c r="L1399" s="54"/>
      <c r="N1399" s="71"/>
      <c r="O1399" s="72" t="s">
        <v>51</v>
      </c>
      <c r="P1399" s="72"/>
      <c r="Q1399" s="72"/>
      <c r="R1399" s="72">
        <v>0</v>
      </c>
      <c r="S1399" s="63"/>
      <c r="T1399" s="72" t="s">
        <v>51</v>
      </c>
      <c r="U1399" s="109">
        <f>IF($J$1="May",Y1398,Y1398)</f>
        <v>0</v>
      </c>
      <c r="V1399" s="74"/>
      <c r="W1399" s="109">
        <f t="shared" si="283"/>
        <v>0</v>
      </c>
      <c r="X1399" s="74"/>
      <c r="Y1399" s="109">
        <f t="shared" si="284"/>
        <v>0</v>
      </c>
      <c r="Z1399" s="76"/>
    </row>
    <row r="1400" spans="1:27" s="29" customFormat="1" ht="21.4" customHeight="1" x14ac:dyDescent="0.2">
      <c r="A1400" s="30"/>
      <c r="B1400" s="48" t="s">
        <v>7</v>
      </c>
      <c r="C1400" s="39">
        <f>IF($J$1="January",P1394,IF($J$1="February",P1395,IF($J$1="March",P1396,IF($J$1="April",P1397,IF($J$1="May",P1398,IF($J$1="June",P1399,IF($J$1="July",P1400,IF($J$1="August",P1401,IF($J$1="August",P1401,IF($J$1="September",P1402,IF($J$1="October",P1403,IF($J$1="November",P1404,IF($J$1="December",P1405)))))))))))))</f>
        <v>0</v>
      </c>
      <c r="F1400" s="48" t="s">
        <v>67</v>
      </c>
      <c r="G1400" s="115" t="str">
        <f>IF($J$1="January",W1394,IF($J$1="February",W1395,IF($J$1="March",W1396,IF($J$1="April",W1397,IF($J$1="May",W1398,IF($J$1="June",W1399,IF($J$1="July",W1400,IF($J$1="August",W1401,IF($J$1="August",W1401,IF($J$1="September",W1402,IF($J$1="October",W1403,IF($J$1="November",W1404,IF($J$1="December",W1405)))))))))))))</f>
        <v/>
      </c>
      <c r="H1400" s="47"/>
      <c r="I1400" s="456" t="s">
        <v>71</v>
      </c>
      <c r="J1400" s="457"/>
      <c r="K1400" s="43">
        <f>K1398+K1399</f>
        <v>0</v>
      </c>
      <c r="L1400" s="55"/>
      <c r="N1400" s="71"/>
      <c r="O1400" s="72" t="s">
        <v>52</v>
      </c>
      <c r="P1400" s="72"/>
      <c r="Q1400" s="72"/>
      <c r="R1400" s="72">
        <v>0</v>
      </c>
      <c r="S1400" s="63"/>
      <c r="T1400" s="72" t="s">
        <v>52</v>
      </c>
      <c r="U1400" s="109" t="str">
        <f>IF($J$1="July",Y1399,"")</f>
        <v/>
      </c>
      <c r="V1400" s="74"/>
      <c r="W1400" s="109" t="str">
        <f t="shared" si="283"/>
        <v/>
      </c>
      <c r="X1400" s="74"/>
      <c r="Y1400" s="109" t="str">
        <f t="shared" si="284"/>
        <v/>
      </c>
      <c r="Z1400" s="76"/>
    </row>
    <row r="1401" spans="1:27" s="29" customFormat="1" ht="21.4" customHeight="1" x14ac:dyDescent="0.2">
      <c r="A1401" s="30"/>
      <c r="B1401" s="56" t="s">
        <v>6</v>
      </c>
      <c r="C1401" s="39">
        <f>IF($J$1="January",Q1394,IF($J$1="February",Q1395,IF($J$1="March",Q1396,IF($J$1="April",Q1397,IF($J$1="May",Q1398,IF($J$1="June",Q1399,IF($J$1="July",Q1400,IF($J$1="August",Q1401,IF($J$1="August",Q1401,IF($J$1="September",Q1402,IF($J$1="October",Q1403,IF($J$1="November",Q1404,IF($J$1="December",Q1405)))))))))))))</f>
        <v>0</v>
      </c>
      <c r="F1401" s="48" t="s">
        <v>23</v>
      </c>
      <c r="G1401" s="115">
        <f>IF($J$1="January",X1394,IF($J$1="February",X1395,IF($J$1="March",X1396,IF($J$1="April",X1397,IF($J$1="May",X1398,IF($J$1="June",X1399,IF($J$1="July",X1400,IF($J$1="August",X1401,IF($J$1="August",X1401,IF($J$1="September",X1402,IF($J$1="October",X1403,IF($J$1="November",X1404,IF($J$1="December",X1405)))))))))))))</f>
        <v>0</v>
      </c>
      <c r="I1401" s="458" t="s">
        <v>72</v>
      </c>
      <c r="J1401" s="459"/>
      <c r="K1401" s="57">
        <f>G1401</f>
        <v>0</v>
      </c>
      <c r="L1401" s="58"/>
      <c r="N1401" s="71"/>
      <c r="O1401" s="72" t="s">
        <v>53</v>
      </c>
      <c r="P1401" s="72"/>
      <c r="Q1401" s="72"/>
      <c r="R1401" s="72">
        <v>0</v>
      </c>
      <c r="S1401" s="63"/>
      <c r="T1401" s="72" t="s">
        <v>53</v>
      </c>
      <c r="U1401" s="109" t="str">
        <f>IF($J$1="September",Y1400,"")</f>
        <v/>
      </c>
      <c r="V1401" s="74"/>
      <c r="W1401" s="109" t="str">
        <f t="shared" si="283"/>
        <v/>
      </c>
      <c r="X1401" s="74"/>
      <c r="Y1401" s="109" t="str">
        <f t="shared" si="284"/>
        <v/>
      </c>
      <c r="Z1401" s="76"/>
    </row>
    <row r="1402" spans="1:27" s="29" customFormat="1" ht="21.4" customHeight="1" x14ac:dyDescent="0.2">
      <c r="A1402" s="30"/>
      <c r="B1402" s="29" t="s">
        <v>70</v>
      </c>
      <c r="C1402" s="29" t="str">
        <f>IF($J$1="January",R1394,IF($J$1="February",R1395,IF($J$1="March",R1396,IF($J$1="April",R1397,IF($J$1="May",R1398,IF($J$1="June",R1399,IF($J$1="July",R1400,IF($J$1="August",R1401,IF($J$1="August",R1401,IF($J$1="September",R1402,IF($J$1="October",R1403,IF($J$1="November",R1404,IF($J$1="December",R1405)))))))))))))</f>
        <v/>
      </c>
      <c r="F1402" s="29" t="s">
        <v>69</v>
      </c>
      <c r="G1402" s="29" t="str">
        <f>IF($J$1="January",Y1394,IF($J$1="February",Y1395,IF($J$1="March",Y1396,IF($J$1="April",Y1397,IF($J$1="May",Y1398,IF($J$1="June",Y1399,IF($J$1="July",Y1400,IF($J$1="August",Y1401,IF($J$1="August",Y1401,IF($J$1="September",Y1402,IF($J$1="October",Y1403,IF($J$1="November",Y1404,IF($J$1="December",Y1405)))))))))))))</f>
        <v/>
      </c>
      <c r="I1402" s="29" t="s">
        <v>65</v>
      </c>
      <c r="K1402" s="29">
        <f>K1400-K1401</f>
        <v>0</v>
      </c>
      <c r="L1402" s="46"/>
      <c r="N1402" s="71"/>
      <c r="O1402" s="72" t="s">
        <v>58</v>
      </c>
      <c r="P1402" s="72"/>
      <c r="Q1402" s="72"/>
      <c r="R1402" s="72">
        <v>0</v>
      </c>
      <c r="S1402" s="63"/>
      <c r="T1402" s="72" t="s">
        <v>58</v>
      </c>
      <c r="U1402" s="109" t="str">
        <f>IF($J$1="September",Y1401,"")</f>
        <v/>
      </c>
      <c r="V1402" s="74"/>
      <c r="W1402" s="109" t="str">
        <f t="shared" si="283"/>
        <v/>
      </c>
      <c r="X1402" s="74"/>
      <c r="Y1402" s="109" t="str">
        <f t="shared" si="284"/>
        <v/>
      </c>
      <c r="Z1402" s="76"/>
    </row>
    <row r="1403" spans="1:27" s="29" customFormat="1" ht="21.4" customHeight="1" x14ac:dyDescent="0.2">
      <c r="A1403" s="30"/>
      <c r="B1403" s="455"/>
      <c r="C1403" s="455"/>
      <c r="D1403" s="455"/>
      <c r="E1403" s="455"/>
      <c r="F1403" s="455"/>
      <c r="G1403" s="455"/>
      <c r="H1403" s="455"/>
      <c r="I1403" s="455"/>
      <c r="J1403" s="455"/>
      <c r="K1403" s="455"/>
      <c r="L1403" s="46"/>
      <c r="N1403" s="71"/>
      <c r="O1403" s="72" t="s">
        <v>54</v>
      </c>
      <c r="P1403" s="72"/>
      <c r="Q1403" s="72"/>
      <c r="R1403" s="72" t="str">
        <f t="shared" si="282"/>
        <v/>
      </c>
      <c r="S1403" s="63"/>
      <c r="T1403" s="72" t="s">
        <v>54</v>
      </c>
      <c r="U1403" s="109" t="str">
        <f>IF($J$1="October",Y1402,"")</f>
        <v/>
      </c>
      <c r="V1403" s="74"/>
      <c r="W1403" s="109" t="str">
        <f t="shared" si="283"/>
        <v/>
      </c>
      <c r="X1403" s="74"/>
      <c r="Y1403" s="109" t="str">
        <f t="shared" si="284"/>
        <v/>
      </c>
      <c r="Z1403" s="76"/>
    </row>
    <row r="1404" spans="1:27" s="29" customFormat="1" ht="21.4" customHeight="1" x14ac:dyDescent="0.2">
      <c r="A1404" s="30"/>
      <c r="B1404" s="455" t="s">
        <v>94</v>
      </c>
      <c r="C1404" s="455"/>
      <c r="D1404" s="455"/>
      <c r="E1404" s="455"/>
      <c r="F1404" s="455"/>
      <c r="G1404" s="455"/>
      <c r="H1404" s="455"/>
      <c r="I1404" s="455"/>
      <c r="J1404" s="455"/>
      <c r="K1404" s="455"/>
      <c r="L1404" s="46"/>
      <c r="N1404" s="71"/>
      <c r="O1404" s="72" t="s">
        <v>59</v>
      </c>
      <c r="P1404" s="72"/>
      <c r="Q1404" s="72"/>
      <c r="R1404" s="72" t="str">
        <f t="shared" si="282"/>
        <v/>
      </c>
      <c r="S1404" s="63"/>
      <c r="T1404" s="72" t="s">
        <v>59</v>
      </c>
      <c r="U1404" s="109" t="str">
        <f>IF($J$1="November",Y1403,"")</f>
        <v/>
      </c>
      <c r="V1404" s="74"/>
      <c r="W1404" s="109" t="str">
        <f t="shared" si="283"/>
        <v/>
      </c>
      <c r="X1404" s="74"/>
      <c r="Y1404" s="109" t="str">
        <f t="shared" si="284"/>
        <v/>
      </c>
      <c r="Z1404" s="76"/>
    </row>
    <row r="1405" spans="1:27" s="29" customFormat="1" ht="21.4" customHeight="1" thickBot="1" x14ac:dyDescent="0.25">
      <c r="A1405" s="59"/>
      <c r="B1405" s="60"/>
      <c r="C1405" s="60"/>
      <c r="D1405" s="60"/>
      <c r="E1405" s="60"/>
      <c r="F1405" s="60"/>
      <c r="G1405" s="60"/>
      <c r="H1405" s="60"/>
      <c r="I1405" s="60"/>
      <c r="J1405" s="60"/>
      <c r="K1405" s="60"/>
      <c r="L1405" s="61"/>
      <c r="N1405" s="71"/>
      <c r="O1405" s="72" t="s">
        <v>60</v>
      </c>
      <c r="P1405" s="72"/>
      <c r="Q1405" s="72"/>
      <c r="R1405" s="72">
        <v>0</v>
      </c>
      <c r="S1405" s="63"/>
      <c r="T1405" s="72" t="s">
        <v>60</v>
      </c>
      <c r="U1405" s="109" t="str">
        <f>IF($J$1="Dec",Y1404,"")</f>
        <v/>
      </c>
      <c r="V1405" s="74"/>
      <c r="W1405" s="109" t="str">
        <f t="shared" si="283"/>
        <v/>
      </c>
      <c r="X1405" s="74"/>
      <c r="Y1405" s="109" t="str">
        <f t="shared" si="284"/>
        <v/>
      </c>
      <c r="Z1405" s="76"/>
    </row>
    <row r="1406" spans="1:27" s="29" customFormat="1" ht="21.4" customHeight="1" thickBot="1" x14ac:dyDescent="0.25">
      <c r="A1406" s="460"/>
      <c r="B1406" s="461"/>
      <c r="C1406" s="461"/>
      <c r="D1406" s="461"/>
      <c r="E1406" s="461"/>
      <c r="F1406" s="461"/>
      <c r="G1406" s="461"/>
      <c r="H1406" s="461"/>
      <c r="I1406" s="461"/>
      <c r="J1406" s="461"/>
      <c r="K1406" s="461"/>
      <c r="L1406" s="462"/>
      <c r="N1406" s="77"/>
      <c r="O1406" s="78"/>
      <c r="P1406" s="78"/>
      <c r="Q1406" s="78"/>
      <c r="R1406" s="78"/>
      <c r="S1406" s="78"/>
      <c r="T1406" s="78"/>
      <c r="U1406" s="78"/>
      <c r="V1406" s="78"/>
      <c r="W1406" s="78"/>
      <c r="X1406" s="78"/>
      <c r="Y1406" s="78"/>
      <c r="Z1406" s="79"/>
    </row>
    <row r="1407" spans="1:27" s="29" customFormat="1" ht="21.4" customHeight="1" thickBot="1" x14ac:dyDescent="0.25">
      <c r="A1407" s="30"/>
      <c r="C1407" s="466"/>
      <c r="D1407" s="466"/>
      <c r="E1407" s="466"/>
      <c r="F1407" s="466"/>
      <c r="G1407" s="31"/>
      <c r="H1407" s="467"/>
      <c r="I1407" s="467"/>
      <c r="K1407" s="32"/>
      <c r="L1407" s="33"/>
      <c r="N1407" s="63"/>
      <c r="O1407" s="63"/>
      <c r="P1407" s="63"/>
      <c r="Q1407" s="63"/>
      <c r="R1407" s="63"/>
      <c r="S1407" s="63"/>
      <c r="T1407" s="63"/>
      <c r="U1407" s="63"/>
      <c r="V1407" s="63"/>
      <c r="W1407" s="63"/>
      <c r="X1407" s="63"/>
      <c r="Y1407" s="63"/>
      <c r="Z1407" s="63"/>
    </row>
    <row r="1408" spans="1:27" s="29" customFormat="1" ht="21.4" customHeight="1" x14ac:dyDescent="0.2">
      <c r="A1408" s="30" t="s">
        <v>42</v>
      </c>
      <c r="D1408" s="35"/>
      <c r="E1408" s="35"/>
      <c r="F1408" s="35"/>
      <c r="G1408" s="35"/>
      <c r="H1408" s="35"/>
      <c r="J1408" s="36"/>
      <c r="K1408" s="37"/>
      <c r="L1408" s="38"/>
      <c r="M1408" s="28"/>
      <c r="N1408" s="64"/>
      <c r="O1408" s="469" t="s">
        <v>44</v>
      </c>
      <c r="P1408" s="470"/>
      <c r="Q1408" s="470"/>
      <c r="R1408" s="471"/>
      <c r="S1408" s="65"/>
      <c r="T1408" s="469" t="s">
        <v>45</v>
      </c>
      <c r="U1408" s="470"/>
      <c r="V1408" s="470"/>
      <c r="W1408" s="470"/>
      <c r="X1408" s="470"/>
      <c r="Y1408" s="471"/>
      <c r="Z1408" s="66"/>
      <c r="AA1408" s="28"/>
    </row>
    <row r="1409" spans="1:27" s="29" customFormat="1" ht="21.4" customHeight="1" x14ac:dyDescent="0.2">
      <c r="A1409" s="30"/>
      <c r="C1409" s="40" t="s">
        <v>92</v>
      </c>
      <c r="G1409" s="29" t="str">
        <f>$J$1</f>
        <v>October</v>
      </c>
      <c r="H1409" s="41">
        <f>$K$1</f>
        <v>2022</v>
      </c>
      <c r="I1409" s="35"/>
      <c r="L1409" s="42"/>
      <c r="M1409" s="32"/>
      <c r="N1409" s="67"/>
      <c r="O1409" s="68" t="s">
        <v>55</v>
      </c>
      <c r="P1409" s="68" t="s">
        <v>7</v>
      </c>
      <c r="Q1409" s="68" t="s">
        <v>6</v>
      </c>
      <c r="R1409" s="68" t="s">
        <v>56</v>
      </c>
      <c r="S1409" s="69"/>
      <c r="T1409" s="68" t="s">
        <v>55</v>
      </c>
      <c r="U1409" s="68" t="s">
        <v>57</v>
      </c>
      <c r="V1409" s="68" t="s">
        <v>22</v>
      </c>
      <c r="W1409" s="68" t="s">
        <v>21</v>
      </c>
      <c r="X1409" s="68" t="s">
        <v>23</v>
      </c>
      <c r="Y1409" s="68" t="s">
        <v>61</v>
      </c>
      <c r="Z1409" s="70"/>
      <c r="AA1409" s="32"/>
    </row>
    <row r="1410" spans="1:27" s="29" customFormat="1" ht="21.4" customHeight="1" x14ac:dyDescent="0.2">
      <c r="A1410" s="30"/>
      <c r="B1410" s="44"/>
      <c r="C1410" s="45"/>
      <c r="F1410" s="468"/>
      <c r="G1410" s="468"/>
      <c r="I1410" s="468"/>
      <c r="J1410" s="468" t="s">
        <v>1</v>
      </c>
      <c r="K1410" s="468"/>
      <c r="L1410" s="46"/>
      <c r="N1410" s="71"/>
      <c r="O1410" s="72" t="s">
        <v>47</v>
      </c>
      <c r="P1410" s="72"/>
      <c r="Q1410" s="72"/>
      <c r="R1410" s="72">
        <f>15-Q1410</f>
        <v>15</v>
      </c>
      <c r="S1410" s="73"/>
      <c r="T1410" s="72" t="s">
        <v>47</v>
      </c>
      <c r="U1410" s="74"/>
      <c r="V1410" s="74"/>
      <c r="W1410" s="74">
        <f>V1410+U1410</f>
        <v>0</v>
      </c>
      <c r="X1410" s="74"/>
      <c r="Y1410" s="74">
        <f>W1410-X1410</f>
        <v>0</v>
      </c>
      <c r="Z1410" s="70"/>
    </row>
    <row r="1411" spans="1:27" s="29" customFormat="1" ht="21.4" customHeight="1" x14ac:dyDescent="0.2">
      <c r="A1411" s="30"/>
      <c r="B1411" s="29" t="s">
        <v>0</v>
      </c>
      <c r="H1411" s="47"/>
      <c r="L1411" s="34"/>
      <c r="M1411" s="28"/>
      <c r="N1411" s="75"/>
      <c r="O1411" s="72" t="s">
        <v>73</v>
      </c>
      <c r="P1411" s="72"/>
      <c r="Q1411" s="72"/>
      <c r="R1411" s="72" t="str">
        <f>IF(Q1411="","",R1410-Q1411)</f>
        <v/>
      </c>
      <c r="S1411" s="63"/>
      <c r="T1411" s="72" t="s">
        <v>73</v>
      </c>
      <c r="U1411" s="109">
        <f>IF($J$1="January","",Y1410)</f>
        <v>0</v>
      </c>
      <c r="V1411" s="74"/>
      <c r="W1411" s="109">
        <f>IF(U1411="","",U1411+V1411)</f>
        <v>0</v>
      </c>
      <c r="X1411" s="74"/>
      <c r="Y1411" s="109">
        <f>IF(W1411="","",W1411-X1411)</f>
        <v>0</v>
      </c>
      <c r="Z1411" s="76"/>
      <c r="AA1411" s="28"/>
    </row>
    <row r="1412" spans="1:27" s="29" customFormat="1" ht="21.4" customHeight="1" x14ac:dyDescent="0.2">
      <c r="A1412" s="30"/>
      <c r="B1412" s="472" t="s">
        <v>43</v>
      </c>
      <c r="C1412" s="473"/>
      <c r="F1412" s="48" t="s">
        <v>45</v>
      </c>
      <c r="G1412" s="43"/>
      <c r="H1412" s="47"/>
      <c r="I1412" s="49" t="s">
        <v>46</v>
      </c>
      <c r="J1412" s="50"/>
      <c r="K1412" s="51"/>
      <c r="L1412" s="52"/>
      <c r="N1412" s="71"/>
      <c r="O1412" s="72" t="s">
        <v>48</v>
      </c>
      <c r="P1412" s="72"/>
      <c r="Q1412" s="72"/>
      <c r="R1412" s="72" t="str">
        <f t="shared" ref="R1412:R1421" si="285">IF(Q1412="","",R1411-Q1412)</f>
        <v/>
      </c>
      <c r="S1412" s="63"/>
      <c r="T1412" s="72" t="s">
        <v>48</v>
      </c>
      <c r="U1412" s="109">
        <f>IF($J$1="February","",Y1411)</f>
        <v>0</v>
      </c>
      <c r="V1412" s="74"/>
      <c r="W1412" s="109">
        <f t="shared" ref="W1412:W1421" si="286">IF(U1412="","",U1412+V1412)</f>
        <v>0</v>
      </c>
      <c r="X1412" s="74"/>
      <c r="Y1412" s="109">
        <f t="shared" ref="Y1412:Y1421" si="287">IF(W1412="","",W1412-X1412)</f>
        <v>0</v>
      </c>
      <c r="Z1412" s="76"/>
    </row>
    <row r="1413" spans="1:27" s="29" customFormat="1" ht="21.4" customHeight="1" x14ac:dyDescent="0.2">
      <c r="A1413" s="30"/>
      <c r="B1413" s="39"/>
      <c r="C1413" s="39"/>
      <c r="F1413" s="48"/>
      <c r="G1413" s="115"/>
      <c r="H1413" s="47"/>
      <c r="I1413" s="84"/>
      <c r="J1413" s="50"/>
      <c r="K1413" s="53"/>
      <c r="L1413" s="54"/>
      <c r="N1413" s="71"/>
      <c r="O1413" s="72" t="s">
        <v>49</v>
      </c>
      <c r="P1413" s="72"/>
      <c r="Q1413" s="72"/>
      <c r="R1413" s="72" t="str">
        <f t="shared" si="285"/>
        <v/>
      </c>
      <c r="S1413" s="63"/>
      <c r="T1413" s="72" t="s">
        <v>49</v>
      </c>
      <c r="U1413" s="109">
        <f>IF($J$1="March","",Y1412)</f>
        <v>0</v>
      </c>
      <c r="V1413" s="74"/>
      <c r="W1413" s="109">
        <f t="shared" si="286"/>
        <v>0</v>
      </c>
      <c r="X1413" s="74"/>
      <c r="Y1413" s="109">
        <f t="shared" si="287"/>
        <v>0</v>
      </c>
      <c r="Z1413" s="76"/>
    </row>
    <row r="1414" spans="1:27" s="29" customFormat="1" ht="21.4" customHeight="1" x14ac:dyDescent="0.2">
      <c r="A1414" s="30"/>
      <c r="B1414" s="48" t="s">
        <v>44</v>
      </c>
      <c r="C1414" s="39"/>
      <c r="F1414" s="48" t="s">
        <v>66</v>
      </c>
      <c r="G1414" s="115">
        <f>IF($J$1="January",U1410,IF($J$1="February",U1411,IF($J$1="March",U1412,IF($J$1="April",U1413,IF($J$1="May",U1414,IF($J$1="June",U1415,IF($J$1="July",U1416,IF($J$1="August",U1417,IF($J$1="August",U1417,IF($J$1="September",U1418,IF($J$1="October",U1419,IF($J$1="November",U1420,IF($J$1="December",U1421)))))))))))))</f>
        <v>0</v>
      </c>
      <c r="H1414" s="47"/>
      <c r="I1414" s="456"/>
      <c r="J1414" s="457" t="s">
        <v>63</v>
      </c>
      <c r="K1414" s="53">
        <f>K1410/$K$2*I1414</f>
        <v>0</v>
      </c>
      <c r="L1414" s="54"/>
      <c r="N1414" s="71"/>
      <c r="O1414" s="72" t="s">
        <v>50</v>
      </c>
      <c r="P1414" s="72"/>
      <c r="Q1414" s="72"/>
      <c r="R1414" s="72" t="str">
        <f t="shared" si="285"/>
        <v/>
      </c>
      <c r="S1414" s="63"/>
      <c r="T1414" s="72" t="s">
        <v>50</v>
      </c>
      <c r="U1414" s="109">
        <f>IF($J$1="April","",Y1413)</f>
        <v>0</v>
      </c>
      <c r="V1414" s="74"/>
      <c r="W1414" s="109">
        <f t="shared" si="286"/>
        <v>0</v>
      </c>
      <c r="X1414" s="74"/>
      <c r="Y1414" s="109">
        <f t="shared" si="287"/>
        <v>0</v>
      </c>
      <c r="Z1414" s="76"/>
    </row>
    <row r="1415" spans="1:27" s="29" customFormat="1" ht="21.4" customHeight="1" x14ac:dyDescent="0.2">
      <c r="A1415" s="30"/>
      <c r="B1415" s="48"/>
      <c r="C1415" s="39"/>
      <c r="F1415" s="48" t="s">
        <v>22</v>
      </c>
      <c r="G1415" s="115">
        <f>IF($J$1="January",V1410,IF($J$1="February",V1411,IF($J$1="March",V1412,IF($J$1="April",V1413,IF($J$1="May",V1414,IF($J$1="June",V1415,IF($J$1="July",V1416,IF($J$1="August",V1417,IF($J$1="August",V1417,IF($J$1="September",V1418,IF($J$1="October",V1419,IF($J$1="November",V1420,IF($J$1="December",V1421)))))))))))))</f>
        <v>0</v>
      </c>
      <c r="H1415" s="47"/>
      <c r="I1415" s="456"/>
      <c r="J1415" s="457" t="s">
        <v>64</v>
      </c>
      <c r="K1415" s="43">
        <f>K1410/$K$2/8*I1415</f>
        <v>0</v>
      </c>
      <c r="L1415" s="55"/>
      <c r="N1415" s="71"/>
      <c r="O1415" s="72" t="s">
        <v>51</v>
      </c>
      <c r="P1415" s="72"/>
      <c r="Q1415" s="72"/>
      <c r="R1415" s="72" t="str">
        <f t="shared" si="285"/>
        <v/>
      </c>
      <c r="S1415" s="63"/>
      <c r="T1415" s="72" t="s">
        <v>51</v>
      </c>
      <c r="U1415" s="109">
        <f>IF($J$1="May","",Y1414)</f>
        <v>0</v>
      </c>
      <c r="V1415" s="74"/>
      <c r="W1415" s="109">
        <f t="shared" si="286"/>
        <v>0</v>
      </c>
      <c r="X1415" s="74"/>
      <c r="Y1415" s="109">
        <f t="shared" si="287"/>
        <v>0</v>
      </c>
      <c r="Z1415" s="76"/>
    </row>
    <row r="1416" spans="1:27" s="29" customFormat="1" ht="21.4" customHeight="1" x14ac:dyDescent="0.2">
      <c r="A1416" s="30"/>
      <c r="B1416" s="56" t="s">
        <v>7</v>
      </c>
      <c r="C1416" s="39">
        <f>IF($J$1="January",P1410,IF($J$1="February",P1411,IF($J$1="March",P1412,IF($J$1="April",P1413,IF($J$1="May",P1414,IF($J$1="June",P1415,IF($J$1="July",P1416,IF($J$1="August",P1417,IF($J$1="August",P1417,IF($J$1="September",P1418,IF($J$1="October",P1419,IF($J$1="November",P1420,IF($J$1="December",P1421)))))))))))))</f>
        <v>0</v>
      </c>
      <c r="F1416" s="48" t="s">
        <v>67</v>
      </c>
      <c r="G1416" s="115">
        <f>IF($J$1="January",W1410,IF($J$1="February",W1411,IF($J$1="March",W1412,IF($J$1="April",W1413,IF($J$1="May",W1414,IF($J$1="June",W1415,IF($J$1="July",W1416,IF($J$1="August",W1417,IF($J$1="August",W1417,IF($J$1="September",W1418,IF($J$1="October",W1419,IF($J$1="November",W1420,IF($J$1="December",W1421)))))))))))))</f>
        <v>0</v>
      </c>
      <c r="I1416" s="458" t="s">
        <v>71</v>
      </c>
      <c r="J1416" s="459"/>
      <c r="K1416" s="57">
        <f>K1414+K1415</f>
        <v>0</v>
      </c>
      <c r="L1416" s="58"/>
      <c r="N1416" s="71"/>
      <c r="O1416" s="72" t="s">
        <v>52</v>
      </c>
      <c r="P1416" s="72"/>
      <c r="Q1416" s="72"/>
      <c r="R1416" s="72" t="str">
        <f t="shared" si="285"/>
        <v/>
      </c>
      <c r="S1416" s="63"/>
      <c r="T1416" s="72" t="s">
        <v>52</v>
      </c>
      <c r="U1416" s="109">
        <f>IF($J$1="June","",Y1415)</f>
        <v>0</v>
      </c>
      <c r="V1416" s="74"/>
      <c r="W1416" s="109">
        <f t="shared" si="286"/>
        <v>0</v>
      </c>
      <c r="X1416" s="74"/>
      <c r="Y1416" s="109">
        <f t="shared" si="287"/>
        <v>0</v>
      </c>
      <c r="Z1416" s="76"/>
    </row>
    <row r="1417" spans="1:27" s="29" customFormat="1" ht="21.4" customHeight="1" x14ac:dyDescent="0.2">
      <c r="A1417" s="30"/>
      <c r="B1417" s="29" t="s">
        <v>6</v>
      </c>
      <c r="C1417" s="29">
        <f>IF($J$1="January",Q1410,IF($J$1="February",Q1411,IF($J$1="March",Q1412,IF($J$1="April",Q1413,IF($J$1="May",Q1414,IF($J$1="June",Q1415,IF($J$1="July",Q1416,IF($J$1="August",Q1417,IF($J$1="August",Q1417,IF($J$1="September",Q1418,IF($J$1="October",Q1419,IF($J$1="November",Q1420,IF($J$1="December",Q1421)))))))))))))</f>
        <v>0</v>
      </c>
      <c r="F1417" s="29" t="s">
        <v>23</v>
      </c>
      <c r="G1417" s="29">
        <f>IF($J$1="January",X1410,IF($J$1="February",X1411,IF($J$1="March",X1412,IF($J$1="April",X1413,IF($J$1="May",X1414,IF($J$1="June",X1415,IF($J$1="July",X1416,IF($J$1="August",X1417,IF($J$1="August",X1417,IF($J$1="September",X1418,IF($J$1="October",X1419,IF($J$1="November",X1420,IF($J$1="December",X1421)))))))))))))</f>
        <v>0</v>
      </c>
      <c r="I1417" s="29" t="s">
        <v>72</v>
      </c>
      <c r="K1417" s="29">
        <f>G1417</f>
        <v>0</v>
      </c>
      <c r="L1417" s="46"/>
      <c r="N1417" s="71"/>
      <c r="O1417" s="72" t="s">
        <v>53</v>
      </c>
      <c r="P1417" s="72"/>
      <c r="Q1417" s="72"/>
      <c r="R1417" s="72">
        <v>0</v>
      </c>
      <c r="S1417" s="63"/>
      <c r="T1417" s="72" t="s">
        <v>53</v>
      </c>
      <c r="U1417" s="109">
        <f>IF($J$1="July","",Y1416)</f>
        <v>0</v>
      </c>
      <c r="V1417" s="74"/>
      <c r="W1417" s="109">
        <f t="shared" si="286"/>
        <v>0</v>
      </c>
      <c r="X1417" s="74"/>
      <c r="Y1417" s="109">
        <f t="shared" si="287"/>
        <v>0</v>
      </c>
      <c r="Z1417" s="76"/>
    </row>
    <row r="1418" spans="1:27" s="29" customFormat="1" ht="21.4" customHeight="1" x14ac:dyDescent="0.2">
      <c r="A1418" s="30"/>
      <c r="B1418" s="455" t="s">
        <v>70</v>
      </c>
      <c r="C1418" s="455" t="str">
        <f>IF($J$1="January",R1410,IF($J$1="February",R1411,IF($J$1="March",R1412,IF($J$1="April",R1413,IF($J$1="May",R1414,IF($J$1="June",R1415,IF($J$1="July",R1416,IF($J$1="August",R1417,IF($J$1="August",R1417,IF($J$1="September",R1418,IF($J$1="October",R1419,IF($J$1="November",R1420,IF($J$1="December",R1421)))))))))))))</f>
        <v/>
      </c>
      <c r="D1418" s="455"/>
      <c r="E1418" s="455"/>
      <c r="F1418" s="455" t="s">
        <v>69</v>
      </c>
      <c r="G1418" s="455">
        <f>IF($J$1="January",Y1410,IF($J$1="February",Y1411,IF($J$1="March",Y1412,IF($J$1="April",Y1413,IF($J$1="May",Y1414,IF($J$1="June",Y1415,IF($J$1="July",Y1416,IF($J$1="August",Y1417,IF($J$1="August",Y1417,IF($J$1="September",Y1418,IF($J$1="October",Y1419,IF($J$1="November",Y1420,IF($J$1="December",Y1421)))))))))))))</f>
        <v>0</v>
      </c>
      <c r="H1418" s="455"/>
      <c r="I1418" s="455" t="s">
        <v>65</v>
      </c>
      <c r="J1418" s="455"/>
      <c r="K1418" s="455">
        <f>K1416-K1417</f>
        <v>0</v>
      </c>
      <c r="L1418" s="46"/>
      <c r="N1418" s="71"/>
      <c r="O1418" s="72" t="s">
        <v>58</v>
      </c>
      <c r="P1418" s="72"/>
      <c r="Q1418" s="72"/>
      <c r="R1418" s="72" t="str">
        <f t="shared" si="285"/>
        <v/>
      </c>
      <c r="S1418" s="63"/>
      <c r="T1418" s="72" t="s">
        <v>58</v>
      </c>
      <c r="U1418" s="109">
        <f>IF($J$1="August","",Y1417)</f>
        <v>0</v>
      </c>
      <c r="V1418" s="74"/>
      <c r="W1418" s="109">
        <f t="shared" si="286"/>
        <v>0</v>
      </c>
      <c r="X1418" s="74"/>
      <c r="Y1418" s="109">
        <f t="shared" si="287"/>
        <v>0</v>
      </c>
      <c r="Z1418" s="76"/>
    </row>
    <row r="1419" spans="1:27" s="29" customFormat="1" ht="21.4" customHeight="1" x14ac:dyDescent="0.2">
      <c r="A1419" s="30"/>
      <c r="B1419" s="455"/>
      <c r="C1419" s="455"/>
      <c r="D1419" s="455"/>
      <c r="E1419" s="455"/>
      <c r="F1419" s="455"/>
      <c r="G1419" s="455"/>
      <c r="H1419" s="455"/>
      <c r="I1419" s="455"/>
      <c r="J1419" s="455"/>
      <c r="K1419" s="455"/>
      <c r="L1419" s="46"/>
      <c r="N1419" s="71"/>
      <c r="O1419" s="72" t="s">
        <v>54</v>
      </c>
      <c r="P1419" s="72"/>
      <c r="Q1419" s="72"/>
      <c r="R1419" s="72" t="str">
        <f t="shared" si="285"/>
        <v/>
      </c>
      <c r="S1419" s="63"/>
      <c r="T1419" s="72" t="s">
        <v>54</v>
      </c>
      <c r="U1419" s="109">
        <f>IF($J$1="September","",Y1418)</f>
        <v>0</v>
      </c>
      <c r="V1419" s="74"/>
      <c r="W1419" s="109">
        <f t="shared" si="286"/>
        <v>0</v>
      </c>
      <c r="X1419" s="74"/>
      <c r="Y1419" s="109">
        <f t="shared" si="287"/>
        <v>0</v>
      </c>
      <c r="Z1419" s="76"/>
    </row>
    <row r="1420" spans="1:27" s="29" customFormat="1" ht="21.4" customHeight="1" thickBot="1" x14ac:dyDescent="0.25">
      <c r="A1420" s="59"/>
      <c r="B1420" s="60"/>
      <c r="C1420" s="60"/>
      <c r="D1420" s="60"/>
      <c r="E1420" s="60"/>
      <c r="F1420" s="60"/>
      <c r="G1420" s="60"/>
      <c r="H1420" s="60"/>
      <c r="I1420" s="60"/>
      <c r="J1420" s="60"/>
      <c r="K1420" s="60"/>
      <c r="L1420" s="61"/>
      <c r="N1420" s="71"/>
      <c r="O1420" s="72" t="s">
        <v>59</v>
      </c>
      <c r="P1420" s="72"/>
      <c r="Q1420" s="72"/>
      <c r="R1420" s="72" t="str">
        <f t="shared" si="285"/>
        <v/>
      </c>
      <c r="S1420" s="63"/>
      <c r="T1420" s="72" t="s">
        <v>59</v>
      </c>
      <c r="U1420" s="109" t="str">
        <f>IF($J$1="October","",Y1419)</f>
        <v/>
      </c>
      <c r="V1420" s="74"/>
      <c r="W1420" s="109" t="str">
        <f t="shared" si="286"/>
        <v/>
      </c>
      <c r="X1420" s="74"/>
      <c r="Y1420" s="109" t="str">
        <f t="shared" si="287"/>
        <v/>
      </c>
      <c r="Z1420" s="76"/>
    </row>
    <row r="1421" spans="1:27" s="29" customFormat="1" ht="21.4" customHeight="1" x14ac:dyDescent="0.2">
      <c r="A1421" s="460"/>
      <c r="B1421" s="461"/>
      <c r="C1421" s="461"/>
      <c r="D1421" s="461"/>
      <c r="E1421" s="461"/>
      <c r="F1421" s="461"/>
      <c r="G1421" s="461"/>
      <c r="H1421" s="461"/>
      <c r="I1421" s="461"/>
      <c r="J1421" s="461"/>
      <c r="K1421" s="461"/>
      <c r="L1421" s="462"/>
      <c r="N1421" s="71"/>
      <c r="O1421" s="72" t="s">
        <v>60</v>
      </c>
      <c r="P1421" s="72"/>
      <c r="Q1421" s="72"/>
      <c r="R1421" s="72" t="str">
        <f t="shared" si="285"/>
        <v/>
      </c>
      <c r="S1421" s="63"/>
      <c r="T1421" s="72" t="s">
        <v>60</v>
      </c>
      <c r="U1421" s="109" t="str">
        <f>IF($J$1="November","",Y1420)</f>
        <v/>
      </c>
      <c r="V1421" s="74"/>
      <c r="W1421" s="109" t="str">
        <f t="shared" si="286"/>
        <v/>
      </c>
      <c r="X1421" s="74"/>
      <c r="Y1421" s="109" t="str">
        <f t="shared" si="287"/>
        <v/>
      </c>
      <c r="Z1421" s="76"/>
    </row>
    <row r="1422" spans="1:27" s="29" customFormat="1" ht="21.4" customHeight="1" thickBot="1" x14ac:dyDescent="0.25">
      <c r="A1422" s="30"/>
      <c r="C1422" s="466"/>
      <c r="D1422" s="466"/>
      <c r="E1422" s="466"/>
      <c r="F1422" s="466"/>
      <c r="G1422" s="31"/>
      <c r="H1422" s="467"/>
      <c r="I1422" s="467"/>
      <c r="K1422" s="32"/>
      <c r="L1422" s="33"/>
      <c r="N1422" s="77"/>
      <c r="O1422" s="78"/>
      <c r="P1422" s="78"/>
      <c r="Q1422" s="78"/>
      <c r="R1422" s="78"/>
      <c r="S1422" s="78"/>
      <c r="T1422" s="78"/>
      <c r="U1422" s="78"/>
      <c r="V1422" s="78"/>
      <c r="W1422" s="78"/>
      <c r="X1422" s="78"/>
      <c r="Y1422" s="78"/>
      <c r="Z1422" s="79"/>
    </row>
    <row r="1423" spans="1:27" s="29" customFormat="1" ht="21.4" customHeight="1" x14ac:dyDescent="0.2">
      <c r="A1423" s="30" t="s">
        <v>42</v>
      </c>
      <c r="D1423" s="35"/>
      <c r="E1423" s="35"/>
      <c r="F1423" s="35"/>
      <c r="G1423" s="35"/>
      <c r="H1423" s="35"/>
      <c r="J1423" s="36"/>
      <c r="K1423" s="37"/>
      <c r="L1423" s="38"/>
      <c r="M1423" s="28"/>
      <c r="N1423" s="64"/>
      <c r="O1423" s="469" t="s">
        <v>44</v>
      </c>
      <c r="P1423" s="470"/>
      <c r="Q1423" s="470"/>
      <c r="R1423" s="471"/>
      <c r="S1423" s="65"/>
      <c r="T1423" s="469" t="s">
        <v>45</v>
      </c>
      <c r="U1423" s="470"/>
      <c r="V1423" s="470"/>
      <c r="W1423" s="470"/>
      <c r="X1423" s="470"/>
      <c r="Y1423" s="471"/>
      <c r="Z1423" s="66"/>
      <c r="AA1423" s="28"/>
    </row>
    <row r="1424" spans="1:27" s="29" customFormat="1" ht="21.4" customHeight="1" x14ac:dyDescent="0.2">
      <c r="A1424" s="30"/>
      <c r="C1424" s="40" t="s">
        <v>92</v>
      </c>
      <c r="G1424" s="29" t="str">
        <f>$J$1</f>
        <v>October</v>
      </c>
      <c r="H1424" s="41">
        <f>$K$1</f>
        <v>2022</v>
      </c>
      <c r="I1424" s="35"/>
      <c r="L1424" s="42"/>
      <c r="M1424" s="32"/>
      <c r="N1424" s="67"/>
      <c r="O1424" s="68" t="s">
        <v>55</v>
      </c>
      <c r="P1424" s="68" t="s">
        <v>7</v>
      </c>
      <c r="Q1424" s="68" t="s">
        <v>6</v>
      </c>
      <c r="R1424" s="68" t="s">
        <v>56</v>
      </c>
      <c r="S1424" s="69"/>
      <c r="T1424" s="68" t="s">
        <v>55</v>
      </c>
      <c r="U1424" s="68" t="s">
        <v>57</v>
      </c>
      <c r="V1424" s="68" t="s">
        <v>22</v>
      </c>
      <c r="W1424" s="68" t="s">
        <v>21</v>
      </c>
      <c r="X1424" s="68" t="s">
        <v>23</v>
      </c>
      <c r="Y1424" s="68" t="s">
        <v>61</v>
      </c>
      <c r="Z1424" s="70"/>
      <c r="AA1424" s="32"/>
    </row>
    <row r="1425" spans="1:27" s="29" customFormat="1" ht="21.4" customHeight="1" x14ac:dyDescent="0.2">
      <c r="A1425" s="30"/>
      <c r="B1425" s="44"/>
      <c r="C1425" s="45"/>
      <c r="F1425" s="468"/>
      <c r="G1425" s="468"/>
      <c r="I1425" s="468"/>
      <c r="J1425" s="468" t="s">
        <v>1</v>
      </c>
      <c r="K1425" s="468"/>
      <c r="L1425" s="46"/>
      <c r="N1425" s="71"/>
      <c r="O1425" s="72" t="s">
        <v>47</v>
      </c>
      <c r="P1425" s="72"/>
      <c r="Q1425" s="72"/>
      <c r="R1425" s="72">
        <v>0</v>
      </c>
      <c r="S1425" s="73"/>
      <c r="T1425" s="72" t="s">
        <v>47</v>
      </c>
      <c r="U1425" s="74"/>
      <c r="V1425" s="74"/>
      <c r="W1425" s="74">
        <f>V1425+U1425</f>
        <v>0</v>
      </c>
      <c r="X1425" s="74"/>
      <c r="Y1425" s="74">
        <f>W1425-X1425</f>
        <v>0</v>
      </c>
      <c r="Z1425" s="70"/>
    </row>
    <row r="1426" spans="1:27" s="29" customFormat="1" ht="21.4" customHeight="1" x14ac:dyDescent="0.2">
      <c r="A1426" s="30"/>
      <c r="B1426" s="29" t="s">
        <v>0</v>
      </c>
      <c r="H1426" s="47"/>
      <c r="L1426" s="34"/>
      <c r="M1426" s="28"/>
      <c r="N1426" s="75"/>
      <c r="O1426" s="72" t="s">
        <v>73</v>
      </c>
      <c r="P1426" s="72"/>
      <c r="Q1426" s="72"/>
      <c r="R1426" s="72">
        <v>0</v>
      </c>
      <c r="S1426" s="63"/>
      <c r="T1426" s="72" t="s">
        <v>73</v>
      </c>
      <c r="U1426" s="109">
        <f>Y1425</f>
        <v>0</v>
      </c>
      <c r="V1426" s="74"/>
      <c r="W1426" s="109">
        <f>IF(U1426="","",U1426+V1426)</f>
        <v>0</v>
      </c>
      <c r="X1426" s="74"/>
      <c r="Y1426" s="109">
        <f>IF(W1426="","",W1426-X1426)</f>
        <v>0</v>
      </c>
      <c r="Z1426" s="76"/>
      <c r="AA1426" s="28"/>
    </row>
    <row r="1427" spans="1:27" s="29" customFormat="1" ht="21.4" customHeight="1" x14ac:dyDescent="0.2">
      <c r="A1427" s="30"/>
      <c r="B1427" s="472" t="s">
        <v>43</v>
      </c>
      <c r="C1427" s="473"/>
      <c r="F1427" s="48" t="s">
        <v>45</v>
      </c>
      <c r="G1427" s="43"/>
      <c r="H1427" s="47"/>
      <c r="I1427" s="49" t="s">
        <v>46</v>
      </c>
      <c r="J1427" s="50"/>
      <c r="K1427" s="51"/>
      <c r="L1427" s="52"/>
      <c r="N1427" s="71"/>
      <c r="O1427" s="72" t="s">
        <v>48</v>
      </c>
      <c r="P1427" s="72"/>
      <c r="Q1427" s="72"/>
      <c r="R1427" s="72">
        <v>0</v>
      </c>
      <c r="S1427" s="63"/>
      <c r="T1427" s="72" t="s">
        <v>48</v>
      </c>
      <c r="U1427" s="109">
        <f>IF($J$1="April",Y1426,Y1426)</f>
        <v>0</v>
      </c>
      <c r="V1427" s="74"/>
      <c r="W1427" s="109">
        <f t="shared" ref="W1427:W1436" si="288">IF(U1427="","",U1427+V1427)</f>
        <v>0</v>
      </c>
      <c r="X1427" s="74"/>
      <c r="Y1427" s="109">
        <f t="shared" ref="Y1427:Y1436" si="289">IF(W1427="","",W1427-X1427)</f>
        <v>0</v>
      </c>
      <c r="Z1427" s="76"/>
    </row>
    <row r="1428" spans="1:27" s="29" customFormat="1" ht="21.4" customHeight="1" x14ac:dyDescent="0.2">
      <c r="A1428" s="30"/>
      <c r="B1428" s="39"/>
      <c r="C1428" s="39"/>
      <c r="F1428" s="48"/>
      <c r="G1428" s="115"/>
      <c r="H1428" s="47"/>
      <c r="I1428" s="84"/>
      <c r="J1428" s="50"/>
      <c r="K1428" s="53"/>
      <c r="L1428" s="54"/>
      <c r="N1428" s="71"/>
      <c r="O1428" s="72" t="s">
        <v>49</v>
      </c>
      <c r="P1428" s="72"/>
      <c r="Q1428" s="72"/>
      <c r="R1428" s="72">
        <v>0</v>
      </c>
      <c r="S1428" s="63"/>
      <c r="T1428" s="72" t="s">
        <v>49</v>
      </c>
      <c r="U1428" s="109">
        <f>IF($J$1="April",Y1427,Y1427)</f>
        <v>0</v>
      </c>
      <c r="V1428" s="74"/>
      <c r="W1428" s="109">
        <f t="shared" si="288"/>
        <v>0</v>
      </c>
      <c r="X1428" s="74"/>
      <c r="Y1428" s="109">
        <f t="shared" si="289"/>
        <v>0</v>
      </c>
      <c r="Z1428" s="76"/>
    </row>
    <row r="1429" spans="1:27" s="29" customFormat="1" ht="21.4" customHeight="1" x14ac:dyDescent="0.2">
      <c r="A1429" s="30"/>
      <c r="B1429" s="48" t="s">
        <v>44</v>
      </c>
      <c r="C1429" s="39"/>
      <c r="F1429" s="48" t="s">
        <v>66</v>
      </c>
      <c r="G1429" s="115" t="str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/>
      </c>
      <c r="H1429" s="47"/>
      <c r="I1429" s="456"/>
      <c r="J1429" s="457" t="s">
        <v>63</v>
      </c>
      <c r="K1429" s="53">
        <f>K1425/$K$2*I1429</f>
        <v>0</v>
      </c>
      <c r="L1429" s="54"/>
      <c r="N1429" s="71"/>
      <c r="O1429" s="72" t="s">
        <v>50</v>
      </c>
      <c r="P1429" s="72"/>
      <c r="Q1429" s="72"/>
      <c r="R1429" s="72" t="str">
        <f t="shared" ref="R1429:R1436" si="290">IF(Q1429="","",R1428-Q1429)</f>
        <v/>
      </c>
      <c r="S1429" s="63"/>
      <c r="T1429" s="72" t="s">
        <v>50</v>
      </c>
      <c r="U1429" s="109">
        <f>IF($J$1="May",Y1428,Y1428)</f>
        <v>0</v>
      </c>
      <c r="V1429" s="74"/>
      <c r="W1429" s="109">
        <f t="shared" si="288"/>
        <v>0</v>
      </c>
      <c r="X1429" s="74"/>
      <c r="Y1429" s="109">
        <f t="shared" si="289"/>
        <v>0</v>
      </c>
      <c r="Z1429" s="76"/>
    </row>
    <row r="1430" spans="1:27" s="29" customFormat="1" ht="21.4" customHeight="1" x14ac:dyDescent="0.2">
      <c r="A1430" s="30"/>
      <c r="B1430" s="48"/>
      <c r="C1430" s="39"/>
      <c r="F1430" s="48" t="s">
        <v>22</v>
      </c>
      <c r="G1430" s="115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7"/>
      <c r="I1430" s="456"/>
      <c r="J1430" s="457" t="s">
        <v>64</v>
      </c>
      <c r="K1430" s="43">
        <f>K1425/$K$2/8*I1430</f>
        <v>0</v>
      </c>
      <c r="L1430" s="55"/>
      <c r="N1430" s="71"/>
      <c r="O1430" s="72" t="s">
        <v>51</v>
      </c>
      <c r="P1430" s="72"/>
      <c r="Q1430" s="72"/>
      <c r="R1430" s="72" t="str">
        <f t="shared" si="290"/>
        <v/>
      </c>
      <c r="S1430" s="63"/>
      <c r="T1430" s="72" t="s">
        <v>51</v>
      </c>
      <c r="U1430" s="109">
        <f>IF($J$1="May",Y1429,Y1429)</f>
        <v>0</v>
      </c>
      <c r="V1430" s="74"/>
      <c r="W1430" s="109">
        <f t="shared" si="288"/>
        <v>0</v>
      </c>
      <c r="X1430" s="74"/>
      <c r="Y1430" s="109">
        <f t="shared" si="289"/>
        <v>0</v>
      </c>
      <c r="Z1430" s="76"/>
    </row>
    <row r="1431" spans="1:27" s="29" customFormat="1" ht="21.4" customHeight="1" x14ac:dyDescent="0.2">
      <c r="A1431" s="30"/>
      <c r="B1431" s="56" t="s">
        <v>7</v>
      </c>
      <c r="C1431" s="39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F1431" s="48" t="s">
        <v>67</v>
      </c>
      <c r="G1431" s="115" t="str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/>
      </c>
      <c r="I1431" s="458" t="s">
        <v>71</v>
      </c>
      <c r="J1431" s="459"/>
      <c r="K1431" s="57">
        <f>K1429+K1430</f>
        <v>0</v>
      </c>
      <c r="L1431" s="58"/>
      <c r="N1431" s="71"/>
      <c r="O1431" s="72" t="s">
        <v>52</v>
      </c>
      <c r="P1431" s="72"/>
      <c r="Q1431" s="72"/>
      <c r="R1431" s="72" t="str">
        <f t="shared" si="290"/>
        <v/>
      </c>
      <c r="S1431" s="63"/>
      <c r="T1431" s="72" t="s">
        <v>52</v>
      </c>
      <c r="U1431" s="109" t="str">
        <f>IF($J$1="July",Y1430,"")</f>
        <v/>
      </c>
      <c r="V1431" s="74"/>
      <c r="W1431" s="109" t="str">
        <f t="shared" si="288"/>
        <v/>
      </c>
      <c r="X1431" s="74"/>
      <c r="Y1431" s="109" t="str">
        <f t="shared" si="289"/>
        <v/>
      </c>
      <c r="Z1431" s="76"/>
    </row>
    <row r="1432" spans="1:27" s="29" customFormat="1" ht="21.4" customHeight="1" x14ac:dyDescent="0.2">
      <c r="A1432" s="30"/>
      <c r="B1432" s="29" t="s">
        <v>6</v>
      </c>
      <c r="C1432" s="29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F1432" s="29" t="s">
        <v>23</v>
      </c>
      <c r="G1432" s="29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I1432" s="29" t="s">
        <v>72</v>
      </c>
      <c r="K1432" s="29">
        <f>G1432</f>
        <v>0</v>
      </c>
      <c r="L1432" s="46"/>
      <c r="N1432" s="71"/>
      <c r="O1432" s="72" t="s">
        <v>53</v>
      </c>
      <c r="P1432" s="72"/>
      <c r="Q1432" s="72"/>
      <c r="R1432" s="72" t="str">
        <f t="shared" si="290"/>
        <v/>
      </c>
      <c r="S1432" s="63"/>
      <c r="T1432" s="72" t="s">
        <v>53</v>
      </c>
      <c r="U1432" s="109" t="str">
        <f>IF($J$1="August",Y1431,"")</f>
        <v/>
      </c>
      <c r="V1432" s="74"/>
      <c r="W1432" s="109" t="str">
        <f t="shared" si="288"/>
        <v/>
      </c>
      <c r="X1432" s="74"/>
      <c r="Y1432" s="109" t="str">
        <f t="shared" si="289"/>
        <v/>
      </c>
      <c r="Z1432" s="76"/>
    </row>
    <row r="1433" spans="1:27" s="29" customFormat="1" ht="21.4" customHeight="1" x14ac:dyDescent="0.2">
      <c r="A1433" s="30"/>
      <c r="B1433" s="455" t="s">
        <v>70</v>
      </c>
      <c r="C1433" s="455" t="str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/>
      </c>
      <c r="D1433" s="455"/>
      <c r="E1433" s="455"/>
      <c r="F1433" s="455" t="s">
        <v>69</v>
      </c>
      <c r="G1433" s="455" t="str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/>
      </c>
      <c r="H1433" s="455"/>
      <c r="I1433" s="455" t="s">
        <v>65</v>
      </c>
      <c r="J1433" s="455"/>
      <c r="K1433" s="455">
        <f>K1431-K1432</f>
        <v>0</v>
      </c>
      <c r="L1433" s="46"/>
      <c r="N1433" s="71"/>
      <c r="O1433" s="72" t="s">
        <v>58</v>
      </c>
      <c r="P1433" s="72"/>
      <c r="Q1433" s="72"/>
      <c r="R1433" s="72" t="str">
        <f t="shared" si="290"/>
        <v/>
      </c>
      <c r="S1433" s="63"/>
      <c r="T1433" s="72" t="s">
        <v>58</v>
      </c>
      <c r="U1433" s="109" t="str">
        <f>IF($J$1="Sept",Y1432,"")</f>
        <v/>
      </c>
      <c r="V1433" s="74"/>
      <c r="W1433" s="109" t="str">
        <f t="shared" si="288"/>
        <v/>
      </c>
      <c r="X1433" s="74"/>
      <c r="Y1433" s="109" t="str">
        <f t="shared" si="289"/>
        <v/>
      </c>
      <c r="Z1433" s="76"/>
    </row>
    <row r="1434" spans="1:27" s="29" customFormat="1" ht="21.4" customHeight="1" x14ac:dyDescent="0.2">
      <c r="A1434" s="30"/>
      <c r="B1434" s="455"/>
      <c r="C1434" s="455"/>
      <c r="D1434" s="455"/>
      <c r="E1434" s="455"/>
      <c r="F1434" s="455"/>
      <c r="G1434" s="455"/>
      <c r="H1434" s="455"/>
      <c r="I1434" s="455"/>
      <c r="J1434" s="455"/>
      <c r="K1434" s="455"/>
      <c r="L1434" s="46"/>
      <c r="N1434" s="71"/>
      <c r="O1434" s="72" t="s">
        <v>54</v>
      </c>
      <c r="P1434" s="72"/>
      <c r="Q1434" s="72"/>
      <c r="R1434" s="72" t="str">
        <f t="shared" si="290"/>
        <v/>
      </c>
      <c r="S1434" s="63"/>
      <c r="T1434" s="72" t="s">
        <v>54</v>
      </c>
      <c r="U1434" s="109" t="str">
        <f>IF($J$1="October",Y1433,"")</f>
        <v/>
      </c>
      <c r="V1434" s="74"/>
      <c r="W1434" s="109" t="str">
        <f t="shared" si="288"/>
        <v/>
      </c>
      <c r="X1434" s="74"/>
      <c r="Y1434" s="109" t="str">
        <f t="shared" si="289"/>
        <v/>
      </c>
      <c r="Z1434" s="76"/>
    </row>
    <row r="1435" spans="1:27" s="29" customFormat="1" ht="21.4" customHeight="1" thickBot="1" x14ac:dyDescent="0.25">
      <c r="A1435" s="59"/>
      <c r="B1435" s="60" t="s">
        <v>94</v>
      </c>
      <c r="C1435" s="60"/>
      <c r="D1435" s="60"/>
      <c r="E1435" s="60"/>
      <c r="F1435" s="60"/>
      <c r="G1435" s="60"/>
      <c r="H1435" s="60"/>
      <c r="I1435" s="60"/>
      <c r="J1435" s="60"/>
      <c r="K1435" s="60"/>
      <c r="L1435" s="61"/>
      <c r="N1435" s="71"/>
      <c r="O1435" s="72" t="s">
        <v>59</v>
      </c>
      <c r="P1435" s="72"/>
      <c r="Q1435" s="72"/>
      <c r="R1435" s="72" t="str">
        <f t="shared" si="290"/>
        <v/>
      </c>
      <c r="S1435" s="63"/>
      <c r="T1435" s="72" t="s">
        <v>59</v>
      </c>
      <c r="U1435" s="109" t="str">
        <f>IF($J$1="November",Y1434,"")</f>
        <v/>
      </c>
      <c r="V1435" s="74"/>
      <c r="W1435" s="109" t="str">
        <f t="shared" si="288"/>
        <v/>
      </c>
      <c r="X1435" s="74"/>
      <c r="Y1435" s="109" t="str">
        <f t="shared" si="289"/>
        <v/>
      </c>
      <c r="Z1435" s="76"/>
    </row>
    <row r="1436" spans="1:27" s="29" customFormat="1" ht="21.4" customHeight="1" x14ac:dyDescent="0.2">
      <c r="A1436" s="460"/>
      <c r="B1436" s="461"/>
      <c r="C1436" s="461"/>
      <c r="D1436" s="461"/>
      <c r="E1436" s="461"/>
      <c r="F1436" s="461"/>
      <c r="G1436" s="461"/>
      <c r="H1436" s="461"/>
      <c r="I1436" s="461"/>
      <c r="J1436" s="461"/>
      <c r="K1436" s="461"/>
      <c r="L1436" s="462"/>
      <c r="N1436" s="71"/>
      <c r="O1436" s="72" t="s">
        <v>60</v>
      </c>
      <c r="P1436" s="72"/>
      <c r="Q1436" s="72"/>
      <c r="R1436" s="72" t="str">
        <f t="shared" si="290"/>
        <v/>
      </c>
      <c r="S1436" s="63"/>
      <c r="T1436" s="72" t="s">
        <v>60</v>
      </c>
      <c r="U1436" s="109" t="str">
        <f>IF($J$1="Dec",Y1435,"")</f>
        <v/>
      </c>
      <c r="V1436" s="74"/>
      <c r="W1436" s="109" t="str">
        <f t="shared" si="288"/>
        <v/>
      </c>
      <c r="X1436" s="74"/>
      <c r="Y1436" s="109" t="str">
        <f t="shared" si="289"/>
        <v/>
      </c>
      <c r="Z1436" s="76"/>
    </row>
    <row r="1437" spans="1:27" s="29" customFormat="1" ht="21.4" customHeight="1" thickBot="1" x14ac:dyDescent="0.25">
      <c r="A1437" s="30"/>
      <c r="C1437" s="466"/>
      <c r="D1437" s="466"/>
      <c r="E1437" s="466"/>
      <c r="F1437" s="466"/>
      <c r="G1437" s="31"/>
      <c r="H1437" s="467"/>
      <c r="I1437" s="467"/>
      <c r="K1437" s="32"/>
      <c r="L1437" s="33"/>
      <c r="N1437" s="77"/>
      <c r="O1437" s="78"/>
      <c r="P1437" s="78"/>
      <c r="Q1437" s="78"/>
      <c r="R1437" s="78"/>
      <c r="S1437" s="78"/>
      <c r="T1437" s="78"/>
      <c r="U1437" s="78"/>
      <c r="V1437" s="78"/>
      <c r="W1437" s="78"/>
      <c r="X1437" s="78"/>
      <c r="Y1437" s="78"/>
      <c r="Z1437" s="79"/>
    </row>
    <row r="1438" spans="1:27" s="29" customFormat="1" ht="21.4" customHeight="1" thickBot="1" x14ac:dyDescent="0.25">
      <c r="A1438" s="30"/>
      <c r="D1438" s="35"/>
      <c r="E1438" s="35"/>
      <c r="F1438" s="35"/>
      <c r="G1438" s="35"/>
      <c r="H1438" s="35"/>
      <c r="J1438" s="36"/>
      <c r="K1438" s="37"/>
      <c r="L1438" s="38"/>
      <c r="N1438" s="71"/>
      <c r="O1438" s="63"/>
      <c r="P1438" s="63"/>
      <c r="Q1438" s="63"/>
      <c r="R1438" s="63"/>
      <c r="S1438" s="63"/>
      <c r="T1438" s="63"/>
      <c r="U1438" s="63"/>
      <c r="V1438" s="63"/>
      <c r="W1438" s="63"/>
      <c r="X1438" s="63"/>
      <c r="Y1438" s="63"/>
      <c r="Z1438" s="85"/>
    </row>
    <row r="1439" spans="1:27" s="29" customFormat="1" ht="21.4" customHeight="1" x14ac:dyDescent="0.2">
      <c r="A1439" s="30" t="s">
        <v>42</v>
      </c>
      <c r="C1439" s="40"/>
      <c r="H1439" s="41"/>
      <c r="I1439" s="35"/>
      <c r="L1439" s="42"/>
      <c r="M1439" s="28"/>
      <c r="N1439" s="64"/>
      <c r="O1439" s="469" t="s">
        <v>44</v>
      </c>
      <c r="P1439" s="470"/>
      <c r="Q1439" s="470"/>
      <c r="R1439" s="471"/>
      <c r="S1439" s="65"/>
      <c r="T1439" s="469" t="s">
        <v>45</v>
      </c>
      <c r="U1439" s="470"/>
      <c r="V1439" s="470"/>
      <c r="W1439" s="470"/>
      <c r="X1439" s="470"/>
      <c r="Y1439" s="471"/>
      <c r="Z1439" s="66"/>
      <c r="AA1439" s="28"/>
    </row>
    <row r="1440" spans="1:27" s="29" customFormat="1" ht="21.4" customHeight="1" x14ac:dyDescent="0.2">
      <c r="A1440" s="30"/>
      <c r="B1440" s="44"/>
      <c r="C1440" s="45" t="s">
        <v>92</v>
      </c>
      <c r="F1440" s="468"/>
      <c r="G1440" s="468" t="str">
        <f>$J$1</f>
        <v>October</v>
      </c>
      <c r="H1440" s="29">
        <f>$K$1</f>
        <v>2022</v>
      </c>
      <c r="I1440" s="468"/>
      <c r="J1440" s="468"/>
      <c r="K1440" s="468"/>
      <c r="L1440" s="46"/>
      <c r="M1440" s="32"/>
      <c r="N1440" s="67"/>
      <c r="O1440" s="68" t="s">
        <v>55</v>
      </c>
      <c r="P1440" s="68" t="s">
        <v>7</v>
      </c>
      <c r="Q1440" s="68" t="s">
        <v>6</v>
      </c>
      <c r="R1440" s="68" t="s">
        <v>56</v>
      </c>
      <c r="S1440" s="69"/>
      <c r="T1440" s="68" t="s">
        <v>55</v>
      </c>
      <c r="U1440" s="68" t="s">
        <v>57</v>
      </c>
      <c r="V1440" s="68" t="s">
        <v>22</v>
      </c>
      <c r="W1440" s="68" t="s">
        <v>21</v>
      </c>
      <c r="X1440" s="68" t="s">
        <v>23</v>
      </c>
      <c r="Y1440" s="68" t="s">
        <v>61</v>
      </c>
      <c r="Z1440" s="70"/>
      <c r="AA1440" s="32"/>
    </row>
    <row r="1441" spans="1:27" s="29" customFormat="1" ht="21.4" customHeight="1" x14ac:dyDescent="0.2">
      <c r="A1441" s="30"/>
      <c r="H1441" s="47"/>
      <c r="J1441" s="29" t="s">
        <v>1</v>
      </c>
      <c r="L1441" s="34"/>
      <c r="N1441" s="71"/>
      <c r="O1441" s="72" t="s">
        <v>47</v>
      </c>
      <c r="P1441" s="72"/>
      <c r="Q1441" s="72"/>
      <c r="R1441" s="72"/>
      <c r="S1441" s="73"/>
      <c r="T1441" s="72" t="s">
        <v>47</v>
      </c>
      <c r="U1441" s="74"/>
      <c r="V1441" s="74"/>
      <c r="W1441" s="74">
        <f>V1441+U1441</f>
        <v>0</v>
      </c>
      <c r="X1441" s="74"/>
      <c r="Y1441" s="74">
        <f>W1441-X1441</f>
        <v>0</v>
      </c>
      <c r="Z1441" s="70"/>
    </row>
    <row r="1442" spans="1:27" s="29" customFormat="1" ht="21.4" customHeight="1" x14ac:dyDescent="0.2">
      <c r="A1442" s="30"/>
      <c r="B1442" s="472" t="s">
        <v>0</v>
      </c>
      <c r="C1442" s="473"/>
      <c r="F1442" s="48"/>
      <c r="G1442" s="43"/>
      <c r="H1442" s="47"/>
      <c r="I1442" s="49"/>
      <c r="J1442" s="50"/>
      <c r="K1442" s="51"/>
      <c r="L1442" s="52"/>
      <c r="M1442" s="28"/>
      <c r="N1442" s="75"/>
      <c r="O1442" s="72" t="s">
        <v>73</v>
      </c>
      <c r="P1442" s="72"/>
      <c r="Q1442" s="72"/>
      <c r="R1442" s="72">
        <v>0</v>
      </c>
      <c r="S1442" s="63"/>
      <c r="T1442" s="72" t="s">
        <v>73</v>
      </c>
      <c r="U1442" s="109">
        <f>IF($J$1="January","",Y1441)</f>
        <v>0</v>
      </c>
      <c r="V1442" s="74">
        <v>65</v>
      </c>
      <c r="W1442" s="109">
        <f>IF(U1442="","",U1442+V1442)</f>
        <v>65</v>
      </c>
      <c r="X1442" s="74">
        <v>65</v>
      </c>
      <c r="Y1442" s="109">
        <f>IF(W1442="","",W1442-X1442)</f>
        <v>0</v>
      </c>
      <c r="Z1442" s="76"/>
      <c r="AA1442" s="28"/>
    </row>
    <row r="1443" spans="1:27" s="29" customFormat="1" ht="21.4" customHeight="1" x14ac:dyDescent="0.2">
      <c r="A1443" s="30"/>
      <c r="B1443" s="39" t="s">
        <v>43</v>
      </c>
      <c r="C1443" s="39"/>
      <c r="F1443" s="48" t="s">
        <v>45</v>
      </c>
      <c r="G1443" s="115"/>
      <c r="H1443" s="47"/>
      <c r="I1443" s="84" t="s">
        <v>46</v>
      </c>
      <c r="J1443" s="50"/>
      <c r="K1443" s="53"/>
      <c r="L1443" s="54"/>
      <c r="N1443" s="71"/>
      <c r="O1443" s="72" t="s">
        <v>48</v>
      </c>
      <c r="P1443" s="72"/>
      <c r="Q1443" s="72"/>
      <c r="R1443" s="72">
        <v>0</v>
      </c>
      <c r="S1443" s="63"/>
      <c r="T1443" s="72" t="s">
        <v>48</v>
      </c>
      <c r="U1443" s="109">
        <f>IF($J$1="February","",Y1442)</f>
        <v>0</v>
      </c>
      <c r="V1443" s="74"/>
      <c r="W1443" s="109">
        <f t="shared" ref="W1443:W1452" si="291">IF(U1443="","",U1443+V1443)</f>
        <v>0</v>
      </c>
      <c r="X1443" s="74"/>
      <c r="Y1443" s="109">
        <f t="shared" ref="Y1443:Y1452" si="292">IF(W1443="","",W1443-X1443)</f>
        <v>0</v>
      </c>
      <c r="Z1443" s="76"/>
    </row>
    <row r="1444" spans="1:27" s="29" customFormat="1" ht="21.4" customHeight="1" x14ac:dyDescent="0.2">
      <c r="A1444" s="30"/>
      <c r="B1444" s="48"/>
      <c r="C1444" s="39"/>
      <c r="F1444" s="48"/>
      <c r="G1444" s="115"/>
      <c r="H1444" s="47"/>
      <c r="I1444" s="456"/>
      <c r="J1444" s="457"/>
      <c r="K1444" s="53"/>
      <c r="L1444" s="54"/>
      <c r="N1444" s="71"/>
      <c r="O1444" s="72" t="s">
        <v>49</v>
      </c>
      <c r="P1444" s="72"/>
      <c r="Q1444" s="72"/>
      <c r="R1444" s="72" t="str">
        <f t="shared" ref="R1444:R1449" si="293">IF(Q1444="","",R1443-Q1444)</f>
        <v/>
      </c>
      <c r="S1444" s="63"/>
      <c r="T1444" s="72" t="s">
        <v>49</v>
      </c>
      <c r="U1444" s="109">
        <f>IF($J$1="March","",Y1443)</f>
        <v>0</v>
      </c>
      <c r="V1444" s="74"/>
      <c r="W1444" s="109">
        <f t="shared" si="291"/>
        <v>0</v>
      </c>
      <c r="X1444" s="74"/>
      <c r="Y1444" s="109">
        <f t="shared" si="292"/>
        <v>0</v>
      </c>
      <c r="Z1444" s="76"/>
    </row>
    <row r="1445" spans="1:27" s="29" customFormat="1" ht="21.4" customHeight="1" x14ac:dyDescent="0.2">
      <c r="A1445" s="30"/>
      <c r="B1445" s="48" t="s">
        <v>44</v>
      </c>
      <c r="C1445" s="39"/>
      <c r="F1445" s="48" t="s">
        <v>66</v>
      </c>
      <c r="G1445" s="115">
        <f>IF($J$1="January",U1441,IF($J$1="February",U1442,IF($J$1="March",U1443,IF($J$1="April",U1444,IF($J$1="May",U1445,IF($J$1="June",U1446,IF($J$1="July",U1447,IF($J$1="August",U1448,IF($J$1="August",U1448,IF($J$1="September",U1449,IF($J$1="October",U1450,IF($J$1="November",U1451,IF($J$1="December",U1452)))))))))))))</f>
        <v>0</v>
      </c>
      <c r="H1445" s="47"/>
      <c r="I1445" s="456"/>
      <c r="J1445" s="457" t="s">
        <v>63</v>
      </c>
      <c r="K1445" s="43">
        <f>K1441/$K$2*I1445</f>
        <v>0</v>
      </c>
      <c r="L1445" s="55"/>
      <c r="N1445" s="71"/>
      <c r="O1445" s="72" t="s">
        <v>50</v>
      </c>
      <c r="P1445" s="72"/>
      <c r="Q1445" s="72"/>
      <c r="R1445" s="72" t="str">
        <f t="shared" si="293"/>
        <v/>
      </c>
      <c r="S1445" s="63"/>
      <c r="T1445" s="72" t="s">
        <v>50</v>
      </c>
      <c r="U1445" s="109">
        <f>IF($J$1="April","",Y1444)</f>
        <v>0</v>
      </c>
      <c r="V1445" s="74"/>
      <c r="W1445" s="109">
        <f t="shared" si="291"/>
        <v>0</v>
      </c>
      <c r="X1445" s="74"/>
      <c r="Y1445" s="109">
        <f t="shared" si="292"/>
        <v>0</v>
      </c>
      <c r="Z1445" s="76"/>
    </row>
    <row r="1446" spans="1:27" s="29" customFormat="1" ht="21.4" customHeight="1" x14ac:dyDescent="0.2">
      <c r="A1446" s="30"/>
      <c r="B1446" s="56"/>
      <c r="C1446" s="39"/>
      <c r="F1446" s="48" t="s">
        <v>22</v>
      </c>
      <c r="G1446" s="115">
        <f>IF($J$1="January",V1441,IF($J$1="February",V1442,IF($J$1="March",V1443,IF($J$1="April",V1444,IF($J$1="May",V1445,IF($J$1="June",V1446,IF($J$1="July",V1447,IF($J$1="August",V1448,IF($J$1="August",V1448,IF($J$1="September",V1449,IF($J$1="October",V1450,IF($J$1="November",V1451,IF($J$1="December",V1452)))))))))))))</f>
        <v>0</v>
      </c>
      <c r="I1446" s="458"/>
      <c r="J1446" s="459" t="s">
        <v>64</v>
      </c>
      <c r="K1446" s="57">
        <f>K1441/$K$2/8*I1446</f>
        <v>0</v>
      </c>
      <c r="L1446" s="58"/>
      <c r="N1446" s="71"/>
      <c r="O1446" s="72" t="s">
        <v>51</v>
      </c>
      <c r="P1446" s="72"/>
      <c r="Q1446" s="72"/>
      <c r="R1446" s="72" t="str">
        <f t="shared" si="293"/>
        <v/>
      </c>
      <c r="S1446" s="63"/>
      <c r="T1446" s="72" t="s">
        <v>51</v>
      </c>
      <c r="U1446" s="109">
        <f>IF($J$1="May","",Y1445)</f>
        <v>0</v>
      </c>
      <c r="V1446" s="74"/>
      <c r="W1446" s="109">
        <f t="shared" si="291"/>
        <v>0</v>
      </c>
      <c r="X1446" s="74"/>
      <c r="Y1446" s="109">
        <f t="shared" si="292"/>
        <v>0</v>
      </c>
      <c r="Z1446" s="76"/>
    </row>
    <row r="1447" spans="1:27" s="29" customFormat="1" ht="21.4" customHeight="1" x14ac:dyDescent="0.2">
      <c r="A1447" s="30"/>
      <c r="B1447" s="29" t="s">
        <v>7</v>
      </c>
      <c r="C1447" s="29">
        <f>IF($J$1="January",P1441,IF($J$1="February",P1442,IF($J$1="March",P1443,IF($J$1="April",P1444,IF($J$1="May",P1445,IF($J$1="June",P1446,IF($J$1="July",P1447,IF($J$1="August",P1448,IF($J$1="August",P1448,IF($J$1="September",P1449,IF($J$1="October",P1450,IF($J$1="November",P1451,IF($J$1="December",P1452)))))))))))))</f>
        <v>0</v>
      </c>
      <c r="F1447" s="29" t="s">
        <v>67</v>
      </c>
      <c r="G1447" s="29">
        <f>IF($J$1="January",W1441,IF($J$1="February",W1442,IF($J$1="March",W1443,IF($J$1="April",W1444,IF($J$1="May",W1445,IF($J$1="June",W1446,IF($J$1="July",W1447,IF($J$1="August",W1448,IF($J$1="August",W1448,IF($J$1="September",W1449,IF($J$1="October",W1450,IF($J$1="November",W1451,IF($J$1="December",W1452)))))))))))))</f>
        <v>0</v>
      </c>
      <c r="I1447" s="29" t="s">
        <v>71</v>
      </c>
      <c r="K1447" s="29">
        <f>K1445+K1446</f>
        <v>0</v>
      </c>
      <c r="L1447" s="46"/>
      <c r="N1447" s="71"/>
      <c r="O1447" s="72" t="s">
        <v>52</v>
      </c>
      <c r="P1447" s="72"/>
      <c r="Q1447" s="72"/>
      <c r="R1447" s="72">
        <v>0</v>
      </c>
      <c r="S1447" s="63"/>
      <c r="T1447" s="72" t="s">
        <v>52</v>
      </c>
      <c r="U1447" s="109">
        <f>IF($J$1="June","",Y1446)</f>
        <v>0</v>
      </c>
      <c r="V1447" s="74"/>
      <c r="W1447" s="109">
        <f t="shared" si="291"/>
        <v>0</v>
      </c>
      <c r="X1447" s="74"/>
      <c r="Y1447" s="109">
        <f t="shared" si="292"/>
        <v>0</v>
      </c>
      <c r="Z1447" s="76"/>
    </row>
    <row r="1448" spans="1:27" s="29" customFormat="1" ht="21.4" customHeight="1" x14ac:dyDescent="0.2">
      <c r="A1448" s="30"/>
      <c r="B1448" s="455" t="s">
        <v>6</v>
      </c>
      <c r="C1448" s="455">
        <f>IF($J$1="January",Q1441,IF($J$1="February",Q1442,IF($J$1="March",Q1443,IF($J$1="April",Q1444,IF($J$1="May",Q1445,IF($J$1="June",Q1446,IF($J$1="July",Q1447,IF($J$1="August",Q1448,IF($J$1="August",Q1448,IF($J$1="September",Q1449,IF($J$1="October",Q1450,IF($J$1="November",Q1451,IF($J$1="December",Q1452)))))))))))))</f>
        <v>0</v>
      </c>
      <c r="D1448" s="455"/>
      <c r="E1448" s="455"/>
      <c r="F1448" s="455" t="s">
        <v>23</v>
      </c>
      <c r="G1448" s="455">
        <f>IF($J$1="January",X1441,IF($J$1="February",X1442,IF($J$1="March",X1443,IF($J$1="April",X1444,IF($J$1="May",X1445,IF($J$1="June",X1446,IF($J$1="July",X1447,IF($J$1="August",X1448,IF($J$1="August",X1448,IF($J$1="September",X1449,IF($J$1="October",X1450,IF($J$1="November",X1451,IF($J$1="December",X1452)))))))))))))</f>
        <v>0</v>
      </c>
      <c r="H1448" s="455"/>
      <c r="I1448" s="455" t="s">
        <v>72</v>
      </c>
      <c r="J1448" s="455"/>
      <c r="K1448" s="455">
        <f>G1448</f>
        <v>0</v>
      </c>
      <c r="L1448" s="46"/>
      <c r="N1448" s="71"/>
      <c r="O1448" s="72" t="s">
        <v>53</v>
      </c>
      <c r="P1448" s="72"/>
      <c r="Q1448" s="72"/>
      <c r="R1448" s="72">
        <v>0</v>
      </c>
      <c r="S1448" s="63"/>
      <c r="T1448" s="72" t="s">
        <v>53</v>
      </c>
      <c r="U1448" s="109">
        <f>IF($J$1="July","",Y1447)</f>
        <v>0</v>
      </c>
      <c r="V1448" s="74"/>
      <c r="W1448" s="109">
        <f t="shared" si="291"/>
        <v>0</v>
      </c>
      <c r="X1448" s="74"/>
      <c r="Y1448" s="109">
        <f t="shared" si="292"/>
        <v>0</v>
      </c>
      <c r="Z1448" s="76"/>
    </row>
    <row r="1449" spans="1:27" s="29" customFormat="1" ht="21.4" customHeight="1" x14ac:dyDescent="0.2">
      <c r="A1449" s="30"/>
      <c r="B1449" s="455" t="s">
        <v>70</v>
      </c>
      <c r="C1449" s="455">
        <f>IF($J$1="January",R1441,IF($J$1="February",R1442,IF($J$1="March",R1443,IF($J$1="April",R1444,IF($J$1="May",R1445,IF($J$1="June",R1446,IF($J$1="July",R1447,IF($J$1="August",R1448,IF($J$1="August",R1448,IF($J$1="September",R1449,IF($J$1="October",R1450,IF($J$1="November",R1451,IF($J$1="December",R1452)))))))))))))</f>
        <v>0</v>
      </c>
      <c r="D1449" s="455"/>
      <c r="E1449" s="455"/>
      <c r="F1449" s="455" t="s">
        <v>69</v>
      </c>
      <c r="G1449" s="455">
        <f>IF($J$1="January",Y1441,IF($J$1="February",Y1442,IF($J$1="March",Y1443,IF($J$1="April",Y1444,IF($J$1="May",Y1445,IF($J$1="June",Y1446,IF($J$1="July",Y1447,IF($J$1="August",Y1448,IF($J$1="August",Y1448,IF($J$1="September",Y1449,IF($J$1="October",Y1450,IF($J$1="November",Y1451,IF($J$1="December",Y1452)))))))))))))</f>
        <v>0</v>
      </c>
      <c r="H1449" s="455"/>
      <c r="I1449" s="455" t="s">
        <v>65</v>
      </c>
      <c r="J1449" s="455"/>
      <c r="K1449" s="455">
        <f>K1447-K1448</f>
        <v>0</v>
      </c>
      <c r="L1449" s="46"/>
      <c r="N1449" s="71"/>
      <c r="O1449" s="72" t="s">
        <v>58</v>
      </c>
      <c r="P1449" s="72"/>
      <c r="Q1449" s="72"/>
      <c r="R1449" s="72" t="str">
        <f t="shared" si="293"/>
        <v/>
      </c>
      <c r="S1449" s="63"/>
      <c r="T1449" s="72" t="s">
        <v>58</v>
      </c>
      <c r="U1449" s="109">
        <f>IF($J$1="August","",Y1448)</f>
        <v>0</v>
      </c>
      <c r="V1449" s="74"/>
      <c r="W1449" s="109">
        <f t="shared" si="291"/>
        <v>0</v>
      </c>
      <c r="X1449" s="74"/>
      <c r="Y1449" s="109">
        <f t="shared" si="292"/>
        <v>0</v>
      </c>
      <c r="Z1449" s="76"/>
    </row>
    <row r="1450" spans="1:27" s="29" customFormat="1" ht="21.4" customHeight="1" thickBot="1" x14ac:dyDescent="0.25">
      <c r="A1450" s="59"/>
      <c r="B1450" s="60"/>
      <c r="C1450" s="60"/>
      <c r="D1450" s="60"/>
      <c r="E1450" s="60"/>
      <c r="F1450" s="60"/>
      <c r="G1450" s="60"/>
      <c r="H1450" s="60"/>
      <c r="I1450" s="60"/>
      <c r="J1450" s="60"/>
      <c r="K1450" s="60"/>
      <c r="L1450" s="61"/>
      <c r="N1450" s="71"/>
      <c r="O1450" s="72" t="s">
        <v>54</v>
      </c>
      <c r="P1450" s="72"/>
      <c r="Q1450" s="72"/>
      <c r="R1450" s="72">
        <v>0</v>
      </c>
      <c r="S1450" s="63"/>
      <c r="T1450" s="72" t="s">
        <v>54</v>
      </c>
      <c r="U1450" s="109">
        <f>IF($J$1="September","",Y1449)</f>
        <v>0</v>
      </c>
      <c r="V1450" s="74"/>
      <c r="W1450" s="109">
        <f t="shared" si="291"/>
        <v>0</v>
      </c>
      <c r="X1450" s="74"/>
      <c r="Y1450" s="109">
        <f t="shared" si="292"/>
        <v>0</v>
      </c>
      <c r="Z1450" s="76"/>
    </row>
    <row r="1451" spans="1:27" s="29" customFormat="1" ht="21.4" customHeight="1" x14ac:dyDescent="0.2">
      <c r="A1451" s="460"/>
      <c r="B1451" s="461" t="s">
        <v>94</v>
      </c>
      <c r="C1451" s="461"/>
      <c r="D1451" s="461"/>
      <c r="E1451" s="461"/>
      <c r="F1451" s="461"/>
      <c r="G1451" s="461"/>
      <c r="H1451" s="461"/>
      <c r="I1451" s="461"/>
      <c r="J1451" s="461"/>
      <c r="K1451" s="461"/>
      <c r="L1451" s="462"/>
      <c r="N1451" s="71"/>
      <c r="O1451" s="72" t="s">
        <v>59</v>
      </c>
      <c r="P1451" s="72"/>
      <c r="Q1451" s="72"/>
      <c r="R1451" s="72">
        <v>0</v>
      </c>
      <c r="S1451" s="63"/>
      <c r="T1451" s="72" t="s">
        <v>59</v>
      </c>
      <c r="U1451" s="109" t="str">
        <f>IF($J$1="October","",Y1450)</f>
        <v/>
      </c>
      <c r="V1451" s="74"/>
      <c r="W1451" s="109" t="str">
        <f t="shared" si="291"/>
        <v/>
      </c>
      <c r="X1451" s="74"/>
      <c r="Y1451" s="109" t="str">
        <f t="shared" si="292"/>
        <v/>
      </c>
      <c r="Z1451" s="76"/>
    </row>
    <row r="1452" spans="1:27" s="29" customFormat="1" ht="21.4" customHeight="1" x14ac:dyDescent="0.2">
      <c r="A1452" s="30"/>
      <c r="C1452" s="466"/>
      <c r="D1452" s="466"/>
      <c r="E1452" s="466"/>
      <c r="F1452" s="466"/>
      <c r="G1452" s="31"/>
      <c r="H1452" s="467"/>
      <c r="I1452" s="467"/>
      <c r="K1452" s="32"/>
      <c r="L1452" s="33"/>
      <c r="N1452" s="71"/>
      <c r="O1452" s="72" t="s">
        <v>60</v>
      </c>
      <c r="P1452" s="72"/>
      <c r="Q1452" s="72"/>
      <c r="R1452" s="72">
        <v>0</v>
      </c>
      <c r="S1452" s="63"/>
      <c r="T1452" s="72" t="s">
        <v>60</v>
      </c>
      <c r="U1452" s="109" t="str">
        <f>IF($J$1="November","",Y1451)</f>
        <v/>
      </c>
      <c r="V1452" s="74"/>
      <c r="W1452" s="109" t="str">
        <f t="shared" si="291"/>
        <v/>
      </c>
      <c r="X1452" s="74"/>
      <c r="Y1452" s="109" t="str">
        <f t="shared" si="292"/>
        <v/>
      </c>
      <c r="Z1452" s="76"/>
    </row>
    <row r="1453" spans="1:27" s="29" customFormat="1" ht="21.4" customHeight="1" thickBot="1" x14ac:dyDescent="0.25">
      <c r="A1453" s="30"/>
      <c r="D1453" s="35"/>
      <c r="E1453" s="35"/>
      <c r="F1453" s="35"/>
      <c r="G1453" s="35"/>
      <c r="H1453" s="35"/>
      <c r="J1453" s="36"/>
      <c r="K1453" s="37"/>
      <c r="L1453" s="38"/>
      <c r="N1453" s="77"/>
      <c r="O1453" s="78"/>
      <c r="P1453" s="78"/>
      <c r="Q1453" s="78"/>
      <c r="R1453" s="78"/>
      <c r="S1453" s="78"/>
      <c r="T1453" s="78"/>
      <c r="U1453" s="78"/>
      <c r="V1453" s="78"/>
      <c r="W1453" s="78"/>
      <c r="X1453" s="78"/>
      <c r="Y1453" s="78"/>
      <c r="Z1453" s="79"/>
    </row>
    <row r="1456" spans="1:27" s="29" customFormat="1" ht="21" customHeight="1" thickBot="1" x14ac:dyDescent="0.25">
      <c r="N1456" s="63"/>
      <c r="O1456" s="63"/>
      <c r="P1456" s="63"/>
      <c r="Q1456" s="63"/>
      <c r="R1456" s="63"/>
      <c r="S1456" s="63"/>
      <c r="T1456" s="63"/>
      <c r="U1456" s="63"/>
      <c r="V1456" s="63"/>
      <c r="W1456" s="63"/>
      <c r="X1456" s="63"/>
      <c r="Y1456" s="63"/>
      <c r="Z1456" s="63"/>
    </row>
    <row r="1457" spans="1:27" s="29" customFormat="1" ht="21" customHeight="1" x14ac:dyDescent="0.2">
      <c r="A1457" s="463" t="s">
        <v>42</v>
      </c>
      <c r="B1457" s="464"/>
      <c r="C1457" s="464"/>
      <c r="D1457" s="464"/>
      <c r="E1457" s="464"/>
      <c r="F1457" s="464"/>
      <c r="G1457" s="464"/>
      <c r="H1457" s="464"/>
      <c r="I1457" s="464"/>
      <c r="J1457" s="464"/>
      <c r="K1457" s="464"/>
      <c r="L1457" s="465"/>
      <c r="M1457" s="28"/>
      <c r="N1457" s="64"/>
      <c r="O1457" s="469" t="s">
        <v>44</v>
      </c>
      <c r="P1457" s="470"/>
      <c r="Q1457" s="470"/>
      <c r="R1457" s="471"/>
      <c r="S1457" s="65"/>
      <c r="T1457" s="469" t="s">
        <v>45</v>
      </c>
      <c r="U1457" s="470"/>
      <c r="V1457" s="470"/>
      <c r="W1457" s="470"/>
      <c r="X1457" s="470"/>
      <c r="Y1457" s="471"/>
      <c r="Z1457" s="66"/>
      <c r="AA1457" s="28"/>
    </row>
    <row r="1458" spans="1:27" s="29" customFormat="1" ht="21" customHeight="1" x14ac:dyDescent="0.2">
      <c r="A1458" s="30"/>
      <c r="C1458" s="466" t="s">
        <v>92</v>
      </c>
      <c r="D1458" s="466"/>
      <c r="E1458" s="466"/>
      <c r="F1458" s="466"/>
      <c r="G1458" s="31" t="str">
        <f>$J$1</f>
        <v>October</v>
      </c>
      <c r="H1458" s="467">
        <f>$K$1</f>
        <v>2022</v>
      </c>
      <c r="I1458" s="467"/>
      <c r="K1458" s="32"/>
      <c r="L1458" s="33"/>
      <c r="M1458" s="32"/>
      <c r="N1458" s="67"/>
      <c r="O1458" s="68" t="s">
        <v>55</v>
      </c>
      <c r="P1458" s="68" t="s">
        <v>7</v>
      </c>
      <c r="Q1458" s="68" t="s">
        <v>6</v>
      </c>
      <c r="R1458" s="68" t="s">
        <v>56</v>
      </c>
      <c r="S1458" s="69"/>
      <c r="T1458" s="68" t="s">
        <v>55</v>
      </c>
      <c r="U1458" s="68" t="s">
        <v>57</v>
      </c>
      <c r="V1458" s="68" t="s">
        <v>22</v>
      </c>
      <c r="W1458" s="68" t="s">
        <v>21</v>
      </c>
      <c r="X1458" s="68" t="s">
        <v>23</v>
      </c>
      <c r="Y1458" s="68" t="s">
        <v>61</v>
      </c>
      <c r="Z1458" s="70"/>
      <c r="AA1458" s="32"/>
    </row>
    <row r="1459" spans="1:27" s="29" customFormat="1" ht="21" customHeight="1" x14ac:dyDescent="0.2">
      <c r="A1459" s="30"/>
      <c r="D1459" s="35"/>
      <c r="E1459" s="35"/>
      <c r="F1459" s="35"/>
      <c r="G1459" s="35"/>
      <c r="H1459" s="35"/>
      <c r="J1459" s="36" t="s">
        <v>1</v>
      </c>
      <c r="K1459" s="37"/>
      <c r="L1459" s="38"/>
      <c r="N1459" s="71"/>
      <c r="O1459" s="72" t="s">
        <v>47</v>
      </c>
      <c r="P1459" s="72"/>
      <c r="Q1459" s="72"/>
      <c r="R1459" s="72"/>
      <c r="S1459" s="73"/>
      <c r="T1459" s="72" t="s">
        <v>47</v>
      </c>
      <c r="U1459" s="74"/>
      <c r="V1459" s="74"/>
      <c r="W1459" s="74">
        <f>V1459+U1459</f>
        <v>0</v>
      </c>
      <c r="X1459" s="74"/>
      <c r="Y1459" s="74">
        <f>W1459-X1459</f>
        <v>0</v>
      </c>
      <c r="Z1459" s="70"/>
    </row>
    <row r="1460" spans="1:27" s="29" customFormat="1" ht="21" customHeight="1" x14ac:dyDescent="0.2">
      <c r="A1460" s="30"/>
      <c r="B1460" s="29" t="s">
        <v>0</v>
      </c>
      <c r="C1460" s="40"/>
      <c r="H1460" s="41"/>
      <c r="I1460" s="35"/>
      <c r="L1460" s="42"/>
      <c r="M1460" s="28"/>
      <c r="N1460" s="75"/>
      <c r="O1460" s="72" t="s">
        <v>73</v>
      </c>
      <c r="P1460" s="72"/>
      <c r="Q1460" s="72"/>
      <c r="R1460" s="72" t="str">
        <f t="shared" ref="R1460:R1467" si="294">IF(Q1460="","",R1459-Q1460)</f>
        <v/>
      </c>
      <c r="S1460" s="63"/>
      <c r="T1460" s="72" t="s">
        <v>73</v>
      </c>
      <c r="U1460" s="109">
        <f>IF($J$1="January","",Y1459)</f>
        <v>0</v>
      </c>
      <c r="V1460" s="74"/>
      <c r="W1460" s="109">
        <f>IF(U1460="","",U1460+V1460)</f>
        <v>0</v>
      </c>
      <c r="X1460" s="74"/>
      <c r="Y1460" s="109">
        <f>IF(W1460="","",W1460-X1460)</f>
        <v>0</v>
      </c>
      <c r="Z1460" s="76"/>
      <c r="AA1460" s="28"/>
    </row>
    <row r="1461" spans="1:27" s="29" customFormat="1" ht="21" customHeight="1" x14ac:dyDescent="0.2">
      <c r="A1461" s="30"/>
      <c r="B1461" s="44" t="s">
        <v>43</v>
      </c>
      <c r="C1461" s="45"/>
      <c r="F1461" s="468" t="s">
        <v>45</v>
      </c>
      <c r="G1461" s="468"/>
      <c r="I1461" s="468" t="s">
        <v>46</v>
      </c>
      <c r="J1461" s="468"/>
      <c r="K1461" s="468"/>
      <c r="L1461" s="46"/>
      <c r="N1461" s="71"/>
      <c r="O1461" s="72" t="s">
        <v>48</v>
      </c>
      <c r="P1461" s="72"/>
      <c r="Q1461" s="72"/>
      <c r="R1461" s="72" t="str">
        <f t="shared" si="294"/>
        <v/>
      </c>
      <c r="S1461" s="63"/>
      <c r="T1461" s="72" t="s">
        <v>48</v>
      </c>
      <c r="U1461" s="109">
        <f>IF($J$1="February","",Y1460)</f>
        <v>0</v>
      </c>
      <c r="V1461" s="74"/>
      <c r="W1461" s="109">
        <f t="shared" ref="W1461:W1470" si="295">IF(U1461="","",U1461+V1461)</f>
        <v>0</v>
      </c>
      <c r="X1461" s="74"/>
      <c r="Y1461" s="109">
        <f t="shared" ref="Y1461:Y1470" si="296">IF(W1461="","",W1461-X1461)</f>
        <v>0</v>
      </c>
      <c r="Z1461" s="76"/>
    </row>
    <row r="1462" spans="1:27" s="29" customFormat="1" ht="21" customHeight="1" x14ac:dyDescent="0.2">
      <c r="A1462" s="30"/>
      <c r="H1462" s="47"/>
      <c r="L1462" s="34"/>
      <c r="N1462" s="71"/>
      <c r="O1462" s="72" t="s">
        <v>49</v>
      </c>
      <c r="P1462" s="72"/>
      <c r="Q1462" s="72"/>
      <c r="R1462" s="72" t="str">
        <f t="shared" si="294"/>
        <v/>
      </c>
      <c r="S1462" s="63"/>
      <c r="T1462" s="72" t="s">
        <v>49</v>
      </c>
      <c r="U1462" s="109">
        <f>IF($J$1="March","",Y1461)</f>
        <v>0</v>
      </c>
      <c r="V1462" s="74"/>
      <c r="W1462" s="109">
        <f t="shared" si="295"/>
        <v>0</v>
      </c>
      <c r="X1462" s="74"/>
      <c r="Y1462" s="109">
        <f t="shared" si="296"/>
        <v>0</v>
      </c>
      <c r="Z1462" s="76"/>
    </row>
    <row r="1463" spans="1:27" s="29" customFormat="1" ht="21" customHeight="1" x14ac:dyDescent="0.2">
      <c r="A1463" s="30"/>
      <c r="B1463" s="472" t="s">
        <v>44</v>
      </c>
      <c r="C1463" s="473"/>
      <c r="F1463" s="48" t="s">
        <v>66</v>
      </c>
      <c r="G1463" s="115">
        <f>IF($J$1="January",U1459,IF($J$1="February",U1460,IF($J$1="March",U1461,IF($J$1="April",U1462,IF($J$1="May",U1463,IF($J$1="June",U1464,IF($J$1="July",U1465,IF($J$1="August",U1466,IF($J$1="August",U1466,IF($J$1="September",U1467,IF($J$1="October",U1468,IF($J$1="November",U1469,IF($J$1="December",U1470)))))))))))))</f>
        <v>0</v>
      </c>
      <c r="H1463" s="47"/>
      <c r="I1463" s="49">
        <f>IF(C1467&gt;0,$K$2,C1465)</f>
        <v>0</v>
      </c>
      <c r="J1463" s="50" t="s">
        <v>63</v>
      </c>
      <c r="K1463" s="51">
        <f>K1459/$K$2*I1463</f>
        <v>0</v>
      </c>
      <c r="L1463" s="52"/>
      <c r="N1463" s="71"/>
      <c r="O1463" s="72" t="s">
        <v>50</v>
      </c>
      <c r="P1463" s="72"/>
      <c r="Q1463" s="72"/>
      <c r="R1463" s="72" t="str">
        <f t="shared" si="294"/>
        <v/>
      </c>
      <c r="S1463" s="63"/>
      <c r="T1463" s="72" t="s">
        <v>50</v>
      </c>
      <c r="U1463" s="109">
        <f>IF($J$1="April","",Y1462)</f>
        <v>0</v>
      </c>
      <c r="V1463" s="74"/>
      <c r="W1463" s="109">
        <f t="shared" si="295"/>
        <v>0</v>
      </c>
      <c r="X1463" s="74"/>
      <c r="Y1463" s="109">
        <f t="shared" si="296"/>
        <v>0</v>
      </c>
      <c r="Z1463" s="76"/>
    </row>
    <row r="1464" spans="1:27" s="29" customFormat="1" ht="21" customHeight="1" x14ac:dyDescent="0.2">
      <c r="A1464" s="30"/>
      <c r="B1464" s="39"/>
      <c r="C1464" s="39"/>
      <c r="F1464" s="48" t="s">
        <v>22</v>
      </c>
      <c r="G1464" s="115">
        <f>IF($J$1="January",V1459,IF($J$1="February",V1460,IF($J$1="March",V1461,IF($J$1="April",V1462,IF($J$1="May",V1463,IF($J$1="June",V1464,IF($J$1="July",V1465,IF($J$1="August",V1466,IF($J$1="August",V1466,IF($J$1="September",V1467,IF($J$1="October",V1468,IF($J$1="November",V1469,IF($J$1="December",V1470)))))))))))))</f>
        <v>0</v>
      </c>
      <c r="H1464" s="47"/>
      <c r="I1464" s="84"/>
      <c r="J1464" s="50" t="s">
        <v>64</v>
      </c>
      <c r="K1464" s="53">
        <f>K1459/$K$2/8*I1464</f>
        <v>0</v>
      </c>
      <c r="L1464" s="54"/>
      <c r="N1464" s="71"/>
      <c r="O1464" s="72" t="s">
        <v>51</v>
      </c>
      <c r="P1464" s="72"/>
      <c r="Q1464" s="72"/>
      <c r="R1464" s="72" t="str">
        <f t="shared" si="294"/>
        <v/>
      </c>
      <c r="S1464" s="63"/>
      <c r="T1464" s="72" t="s">
        <v>51</v>
      </c>
      <c r="U1464" s="109">
        <f>IF($J$1="May","",Y1463)</f>
        <v>0</v>
      </c>
      <c r="V1464" s="74"/>
      <c r="W1464" s="109">
        <f t="shared" si="295"/>
        <v>0</v>
      </c>
      <c r="X1464" s="74"/>
      <c r="Y1464" s="109">
        <f t="shared" si="296"/>
        <v>0</v>
      </c>
      <c r="Z1464" s="76"/>
    </row>
    <row r="1465" spans="1:27" s="29" customFormat="1" ht="21" customHeight="1" x14ac:dyDescent="0.2">
      <c r="A1465" s="30"/>
      <c r="B1465" s="48" t="s">
        <v>7</v>
      </c>
      <c r="C1465" s="39">
        <f>IF($J$1="January",P1459,IF($J$1="February",P1460,IF($J$1="March",P1461,IF($J$1="April",P1462,IF($J$1="May",P1463,IF($J$1="June",P1464,IF($J$1="July",P1465,IF($J$1="August",P1466,IF($J$1="August",P1466,IF($J$1="September",P1467,IF($J$1="October",P1468,IF($J$1="November",P1469,IF($J$1="December",P1470)))))))))))))</f>
        <v>0</v>
      </c>
      <c r="F1465" s="48" t="s">
        <v>67</v>
      </c>
      <c r="G1465" s="115">
        <f>IF($J$1="January",W1459,IF($J$1="February",W1460,IF($J$1="March",W1461,IF($J$1="April",W1462,IF($J$1="May",W1463,IF($J$1="June",W1464,IF($J$1="July",W1465,IF($J$1="August",W1466,IF($J$1="August",W1466,IF($J$1="September",W1467,IF($J$1="October",W1468,IF($J$1="November",W1469,IF($J$1="December",W1470)))))))))))))</f>
        <v>0</v>
      </c>
      <c r="H1465" s="47"/>
      <c r="I1465" s="456" t="s">
        <v>71</v>
      </c>
      <c r="J1465" s="457"/>
      <c r="K1465" s="53">
        <f>K1463+K1464</f>
        <v>0</v>
      </c>
      <c r="L1465" s="54"/>
      <c r="N1465" s="71"/>
      <c r="O1465" s="72" t="s">
        <v>52</v>
      </c>
      <c r="P1465" s="72"/>
      <c r="Q1465" s="72"/>
      <c r="R1465" s="72" t="str">
        <f t="shared" si="294"/>
        <v/>
      </c>
      <c r="S1465" s="63"/>
      <c r="T1465" s="72" t="s">
        <v>52</v>
      </c>
      <c r="U1465" s="109">
        <f>IF($J$1="June","",Y1464)</f>
        <v>0</v>
      </c>
      <c r="V1465" s="74"/>
      <c r="W1465" s="109">
        <f t="shared" si="295"/>
        <v>0</v>
      </c>
      <c r="X1465" s="74"/>
      <c r="Y1465" s="109">
        <f t="shared" si="296"/>
        <v>0</v>
      </c>
      <c r="Z1465" s="76"/>
    </row>
    <row r="1466" spans="1:27" s="29" customFormat="1" ht="21" customHeight="1" x14ac:dyDescent="0.2">
      <c r="A1466" s="30"/>
      <c r="B1466" s="48" t="s">
        <v>6</v>
      </c>
      <c r="C1466" s="39">
        <f>IF($J$1="January",Q1459,IF($J$1="February",Q1460,IF($J$1="March",Q1461,IF($J$1="April",Q1462,IF($J$1="May",Q1463,IF($J$1="June",Q1464,IF($J$1="July",Q1465,IF($J$1="August",Q1466,IF($J$1="August",Q1466,IF($J$1="September",Q1467,IF($J$1="October",Q1468,IF($J$1="November",Q1469,IF($J$1="December",Q1470)))))))))))))</f>
        <v>0</v>
      </c>
      <c r="F1466" s="48" t="s">
        <v>23</v>
      </c>
      <c r="G1466" s="115">
        <f>IF($J$1="January",X1459,IF($J$1="February",X1460,IF($J$1="March",X1461,IF($J$1="April",X1462,IF($J$1="May",X1463,IF($J$1="June",X1464,IF($J$1="July",X1465,IF($J$1="August",X1466,IF($J$1="August",X1466,IF($J$1="September",X1467,IF($J$1="October",X1468,IF($J$1="November",X1469,IF($J$1="December",X1470)))))))))))))</f>
        <v>0</v>
      </c>
      <c r="H1466" s="47"/>
      <c r="I1466" s="456" t="s">
        <v>72</v>
      </c>
      <c r="J1466" s="457"/>
      <c r="K1466" s="43">
        <f>G1466</f>
        <v>0</v>
      </c>
      <c r="L1466" s="55"/>
      <c r="N1466" s="71"/>
      <c r="O1466" s="72" t="s">
        <v>53</v>
      </c>
      <c r="P1466" s="72"/>
      <c r="Q1466" s="72"/>
      <c r="R1466" s="72" t="str">
        <f t="shared" si="294"/>
        <v/>
      </c>
      <c r="S1466" s="63"/>
      <c r="T1466" s="72" t="s">
        <v>53</v>
      </c>
      <c r="U1466" s="109">
        <f>IF($J$1="July","",Y1465)</f>
        <v>0</v>
      </c>
      <c r="V1466" s="74"/>
      <c r="W1466" s="109">
        <f t="shared" si="295"/>
        <v>0</v>
      </c>
      <c r="X1466" s="74"/>
      <c r="Y1466" s="109">
        <f t="shared" si="296"/>
        <v>0</v>
      </c>
      <c r="Z1466" s="76"/>
    </row>
    <row r="1467" spans="1:27" s="29" customFormat="1" ht="21" customHeight="1" x14ac:dyDescent="0.2">
      <c r="A1467" s="30"/>
      <c r="B1467" s="56" t="s">
        <v>70</v>
      </c>
      <c r="C1467" s="39">
        <f>IF($J$1="January",R1459,IF($J$1="February",R1460,IF($J$1="March",R1461,IF($J$1="April",R1462,IF($J$1="May",R1463,IF($J$1="June",R1464,IF($J$1="July",R1465,IF($J$1="August",R1466,IF($J$1="August",R1466,IF($J$1="September",R1467,IF($J$1="October",R1468,IF($J$1="November",R1469,IF($J$1="December",R1470)))))))))))))</f>
        <v>0</v>
      </c>
      <c r="F1467" s="48" t="s">
        <v>69</v>
      </c>
      <c r="G1467" s="115">
        <f>IF($J$1="January",Y1459,IF($J$1="February",Y1460,IF($J$1="March",Y1461,IF($J$1="April",Y1462,IF($J$1="May",Y1463,IF($J$1="June",Y1464,IF($J$1="July",Y1465,IF($J$1="August",Y1466,IF($J$1="August",Y1466,IF($J$1="September",Y1467,IF($J$1="October",Y1468,IF($J$1="November",Y1469,IF($J$1="December",Y1470)))))))))))))</f>
        <v>0</v>
      </c>
      <c r="I1467" s="458" t="s">
        <v>65</v>
      </c>
      <c r="J1467" s="459"/>
      <c r="K1467" s="57"/>
      <c r="L1467" s="58"/>
      <c r="N1467" s="71"/>
      <c r="O1467" s="72" t="s">
        <v>58</v>
      </c>
      <c r="P1467" s="72"/>
      <c r="Q1467" s="72"/>
      <c r="R1467" s="72" t="str">
        <f t="shared" si="294"/>
        <v/>
      </c>
      <c r="S1467" s="63"/>
      <c r="T1467" s="72" t="s">
        <v>58</v>
      </c>
      <c r="U1467" s="109">
        <f>IF($J$1="August","",Y1466)</f>
        <v>0</v>
      </c>
      <c r="V1467" s="74"/>
      <c r="W1467" s="109">
        <f t="shared" si="295"/>
        <v>0</v>
      </c>
      <c r="X1467" s="74"/>
      <c r="Y1467" s="109">
        <f t="shared" si="296"/>
        <v>0</v>
      </c>
      <c r="Z1467" s="76"/>
    </row>
    <row r="1468" spans="1:27" s="29" customFormat="1" ht="21" customHeight="1" x14ac:dyDescent="0.2">
      <c r="A1468" s="30"/>
      <c r="K1468" s="113"/>
      <c r="L1468" s="46"/>
      <c r="N1468" s="71"/>
      <c r="O1468" s="72" t="s">
        <v>54</v>
      </c>
      <c r="P1468" s="72"/>
      <c r="Q1468" s="72"/>
      <c r="R1468" s="72"/>
      <c r="S1468" s="63"/>
      <c r="T1468" s="72" t="s">
        <v>54</v>
      </c>
      <c r="U1468" s="109">
        <f>IF($J$1="September","",Y1467)</f>
        <v>0</v>
      </c>
      <c r="V1468" s="74"/>
      <c r="W1468" s="109">
        <f t="shared" si="295"/>
        <v>0</v>
      </c>
      <c r="X1468" s="74"/>
      <c r="Y1468" s="109">
        <f t="shared" si="296"/>
        <v>0</v>
      </c>
      <c r="Z1468" s="76"/>
    </row>
    <row r="1469" spans="1:27" s="29" customFormat="1" ht="21" customHeight="1" x14ac:dyDescent="0.2">
      <c r="A1469" s="30"/>
      <c r="B1469" s="455" t="s">
        <v>94</v>
      </c>
      <c r="C1469" s="455"/>
      <c r="D1469" s="455"/>
      <c r="E1469" s="455"/>
      <c r="F1469" s="455"/>
      <c r="G1469" s="455"/>
      <c r="H1469" s="455"/>
      <c r="I1469" s="455"/>
      <c r="J1469" s="455"/>
      <c r="K1469" s="455"/>
      <c r="L1469" s="46"/>
      <c r="N1469" s="71"/>
      <c r="O1469" s="72" t="s">
        <v>59</v>
      </c>
      <c r="P1469" s="72"/>
      <c r="Q1469" s="72"/>
      <c r="R1469" s="72"/>
      <c r="S1469" s="63"/>
      <c r="T1469" s="72" t="s">
        <v>59</v>
      </c>
      <c r="U1469" s="109" t="str">
        <f>IF($J$1="October","",Y1468)</f>
        <v/>
      </c>
      <c r="V1469" s="74"/>
      <c r="W1469" s="109" t="str">
        <f t="shared" si="295"/>
        <v/>
      </c>
      <c r="X1469" s="74"/>
      <c r="Y1469" s="109" t="str">
        <f t="shared" si="296"/>
        <v/>
      </c>
      <c r="Z1469" s="76"/>
    </row>
    <row r="1470" spans="1:27" s="29" customFormat="1" ht="21" customHeight="1" x14ac:dyDescent="0.2">
      <c r="A1470" s="30"/>
      <c r="B1470" s="455"/>
      <c r="C1470" s="455"/>
      <c r="D1470" s="455"/>
      <c r="E1470" s="455"/>
      <c r="F1470" s="455"/>
      <c r="G1470" s="455"/>
      <c r="H1470" s="455"/>
      <c r="I1470" s="455"/>
      <c r="J1470" s="455"/>
      <c r="K1470" s="455"/>
      <c r="L1470" s="46"/>
      <c r="N1470" s="71"/>
      <c r="O1470" s="72" t="s">
        <v>60</v>
      </c>
      <c r="P1470" s="72"/>
      <c r="Q1470" s="72"/>
      <c r="R1470" s="72" t="str">
        <f t="shared" ref="R1470" si="297">IF(Q1470="","",R1469-Q1470)</f>
        <v/>
      </c>
      <c r="S1470" s="63"/>
      <c r="T1470" s="72" t="s">
        <v>60</v>
      </c>
      <c r="U1470" s="109" t="str">
        <f>IF($J$1="November","",Y1469)</f>
        <v/>
      </c>
      <c r="V1470" s="74"/>
      <c r="W1470" s="109" t="str">
        <f t="shared" si="295"/>
        <v/>
      </c>
      <c r="X1470" s="74"/>
      <c r="Y1470" s="109" t="str">
        <f t="shared" si="296"/>
        <v/>
      </c>
      <c r="Z1470" s="76"/>
    </row>
    <row r="1472" spans="1:27" s="29" customFormat="1" ht="21" customHeight="1" x14ac:dyDescent="0.2">
      <c r="N1472" s="63"/>
      <c r="O1472" s="63"/>
      <c r="P1472" s="63"/>
      <c r="Q1472" s="63"/>
      <c r="R1472" s="63"/>
      <c r="S1472" s="63"/>
      <c r="T1472" s="63"/>
      <c r="U1472" s="63"/>
      <c r="V1472" s="63"/>
      <c r="W1472" s="63"/>
      <c r="X1472" s="63"/>
      <c r="Y1472" s="63"/>
      <c r="Z1472" s="63"/>
    </row>
  </sheetData>
  <mergeCells count="1099">
    <mergeCell ref="F732:G732"/>
    <mergeCell ref="H777:I777"/>
    <mergeCell ref="I1154:J1154"/>
    <mergeCell ref="C792:F792"/>
    <mergeCell ref="B1174:K1175"/>
    <mergeCell ref="I1022:K1022"/>
    <mergeCell ref="I867:J867"/>
    <mergeCell ref="I1124:J1124"/>
    <mergeCell ref="F1118:G1118"/>
    <mergeCell ref="I1118:K1118"/>
    <mergeCell ref="I1122:J1122"/>
    <mergeCell ref="I1123:J1123"/>
    <mergeCell ref="I753:J753"/>
    <mergeCell ref="I754:J754"/>
    <mergeCell ref="I996:J996"/>
    <mergeCell ref="A986:L986"/>
    <mergeCell ref="B756:K757"/>
    <mergeCell ref="B855:K856"/>
    <mergeCell ref="I831:J831"/>
    <mergeCell ref="I1060:J1060"/>
    <mergeCell ref="F1070:G1070"/>
    <mergeCell ref="H1099:I1099"/>
    <mergeCell ref="I481:J481"/>
    <mergeCell ref="B483:K484"/>
    <mergeCell ref="A1034:L1034"/>
    <mergeCell ref="B1388:K1389"/>
    <mergeCell ref="I511:J511"/>
    <mergeCell ref="F604:G604"/>
    <mergeCell ref="I604:K604"/>
    <mergeCell ref="I1139:J1139"/>
    <mergeCell ref="I1140:J1140"/>
    <mergeCell ref="B1142:K1143"/>
    <mergeCell ref="A1098:L1098"/>
    <mergeCell ref="I1170:J1170"/>
    <mergeCell ref="I1044:J1044"/>
    <mergeCell ref="I1150:K1150"/>
    <mergeCell ref="B1152:C1152"/>
    <mergeCell ref="B1262:D1262"/>
    <mergeCell ref="B1288:K1289"/>
    <mergeCell ref="C1277:F1277"/>
    <mergeCell ref="H1277:I1277"/>
    <mergeCell ref="I1219:J1219"/>
    <mergeCell ref="F1134:G1134"/>
    <mergeCell ref="I1134:K1134"/>
    <mergeCell ref="I674:J674"/>
    <mergeCell ref="C665:F665"/>
    <mergeCell ref="I752:J752"/>
    <mergeCell ref="C808:F808"/>
    <mergeCell ref="I853:J853"/>
    <mergeCell ref="C729:F729"/>
    <mergeCell ref="H1019:I1019"/>
    <mergeCell ref="B1316:C1316"/>
    <mergeCell ref="I1028:J1028"/>
    <mergeCell ref="I1186:J1186"/>
    <mergeCell ref="O1360:R1360"/>
    <mergeCell ref="I1006:K1006"/>
    <mergeCell ref="T1326:Y1326"/>
    <mergeCell ref="T1343:Y1343"/>
    <mergeCell ref="T744:Y744"/>
    <mergeCell ref="T1018:Y1018"/>
    <mergeCell ref="T891:Y891"/>
    <mergeCell ref="A632:L632"/>
    <mergeCell ref="F1086:G1086"/>
    <mergeCell ref="I1086:K1086"/>
    <mergeCell ref="B1088:C1088"/>
    <mergeCell ref="I1234:J1234"/>
    <mergeCell ref="H1295:I1295"/>
    <mergeCell ref="F1330:G1330"/>
    <mergeCell ref="I1330:K1330"/>
    <mergeCell ref="I932:J932"/>
    <mergeCell ref="C1211:F1211"/>
    <mergeCell ref="H1179:I1179"/>
    <mergeCell ref="H1211:I1211"/>
    <mergeCell ref="A1210:L1210"/>
    <mergeCell ref="B644:K645"/>
    <mergeCell ref="B1222:K1223"/>
    <mergeCell ref="C1083:F1083"/>
    <mergeCell ref="B1046:K1047"/>
    <mergeCell ref="O1066:R1066"/>
    <mergeCell ref="F1166:G1166"/>
    <mergeCell ref="F1150:G1150"/>
    <mergeCell ref="C1003:F1003"/>
    <mergeCell ref="I1042:J1042"/>
    <mergeCell ref="T986:Y986"/>
    <mergeCell ref="O971:R971"/>
    <mergeCell ref="T971:Y971"/>
    <mergeCell ref="I716:K716"/>
    <mergeCell ref="C745:F745"/>
    <mergeCell ref="B951:K952"/>
    <mergeCell ref="B992:C992"/>
    <mergeCell ref="F1006:G1006"/>
    <mergeCell ref="I1220:J1220"/>
    <mergeCell ref="H761:I761"/>
    <mergeCell ref="A1310:L1310"/>
    <mergeCell ref="O1098:R1098"/>
    <mergeCell ref="O1146:R1146"/>
    <mergeCell ref="B1110:K1111"/>
    <mergeCell ref="A776:L776"/>
    <mergeCell ref="A1162:L1162"/>
    <mergeCell ref="C1019:F1019"/>
    <mergeCell ref="I1370:J1370"/>
    <mergeCell ref="F1314:G1314"/>
    <mergeCell ref="B1040:C1040"/>
    <mergeCell ref="I1218:J1218"/>
    <mergeCell ref="O1018:R1018"/>
    <mergeCell ref="I1353:J1353"/>
    <mergeCell ref="B1322:K1323"/>
    <mergeCell ref="B1168:C1168"/>
    <mergeCell ref="I1230:K1230"/>
    <mergeCell ref="A1146:L1146"/>
    <mergeCell ref="F1022:G1022"/>
    <mergeCell ref="B1078:K1079"/>
    <mergeCell ref="I1075:J1075"/>
    <mergeCell ref="I1076:J1076"/>
    <mergeCell ref="B1184:C1184"/>
    <mergeCell ref="O1034:R1034"/>
    <mergeCell ref="O1326:R1326"/>
    <mergeCell ref="C892:F892"/>
    <mergeCell ref="O843:R843"/>
    <mergeCell ref="F847:G847"/>
    <mergeCell ref="O1210:R1210"/>
    <mergeCell ref="H1115:I1115"/>
    <mergeCell ref="I852:J852"/>
    <mergeCell ref="B849:C849"/>
    <mergeCell ref="A875:L875"/>
    <mergeCell ref="O1162:R1162"/>
    <mergeCell ref="H987:I987"/>
    <mergeCell ref="C972:F972"/>
    <mergeCell ref="B913:C913"/>
    <mergeCell ref="C1179:F1179"/>
    <mergeCell ref="O1178:R1178"/>
    <mergeCell ref="I959:K959"/>
    <mergeCell ref="O891:R891"/>
    <mergeCell ref="B1136:C1136"/>
    <mergeCell ref="A1050:L1050"/>
    <mergeCell ref="I1108:J1108"/>
    <mergeCell ref="O923:R923"/>
    <mergeCell ref="O986:R986"/>
    <mergeCell ref="I1187:J118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A1018:L1018"/>
    <mergeCell ref="I900:J900"/>
    <mergeCell ref="A907:L907"/>
    <mergeCell ref="B903:K904"/>
    <mergeCell ref="I795:K795"/>
    <mergeCell ref="I801:J801"/>
    <mergeCell ref="H860:I860"/>
    <mergeCell ref="F863:G863"/>
    <mergeCell ref="I863:K863"/>
    <mergeCell ref="C824:F824"/>
    <mergeCell ref="I917:J917"/>
    <mergeCell ref="O600:R600"/>
    <mergeCell ref="O696:R696"/>
    <mergeCell ref="I512:J512"/>
    <mergeCell ref="O439:R439"/>
    <mergeCell ref="I479:J479"/>
    <mergeCell ref="I641:J641"/>
    <mergeCell ref="B871:K872"/>
    <mergeCell ref="I868:J868"/>
    <mergeCell ref="O216:R216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A232:L232"/>
    <mergeCell ref="I209:J209"/>
    <mergeCell ref="F123:G123"/>
    <mergeCell ref="I337:J337"/>
    <mergeCell ref="A328:L328"/>
    <mergeCell ref="H345:I345"/>
    <mergeCell ref="T280:Y280"/>
    <mergeCell ref="B254:C254"/>
    <mergeCell ref="B270:C270"/>
    <mergeCell ref="O232:R232"/>
    <mergeCell ref="C233:F233"/>
    <mergeCell ref="B276:K277"/>
    <mergeCell ref="C249:F249"/>
    <mergeCell ref="O200:R200"/>
    <mergeCell ref="B157:C157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I348:K348"/>
    <mergeCell ref="A296:L296"/>
    <mergeCell ref="C329:F329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B350:C350"/>
    <mergeCell ref="B324:K325"/>
    <mergeCell ref="I336:J33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B179:K180"/>
    <mergeCell ref="I176:J176"/>
    <mergeCell ref="I161:J161"/>
    <mergeCell ref="C152:F152"/>
    <mergeCell ref="H152:I152"/>
    <mergeCell ref="I177:J177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67:J1267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980:J980"/>
    <mergeCell ref="I338:J338"/>
    <mergeCell ref="I155:K155"/>
    <mergeCell ref="T680:Y680"/>
    <mergeCell ref="O1457:R1457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H87:I87"/>
    <mergeCell ref="F90:G90"/>
    <mergeCell ref="T1082:Y1082"/>
    <mergeCell ref="I300:K300"/>
    <mergeCell ref="O392:R392"/>
    <mergeCell ref="I305:J305"/>
    <mergeCell ref="I90:K90"/>
    <mergeCell ref="I560:J560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257:J257"/>
    <mergeCell ref="T248:Y248"/>
    <mergeCell ref="C297:F297"/>
    <mergeCell ref="A360:L360"/>
    <mergeCell ref="B340:K341"/>
    <mergeCell ref="I528:J528"/>
    <mergeCell ref="H393:I393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O503:R503"/>
    <mergeCell ref="A408:L408"/>
    <mergeCell ref="C456:F456"/>
    <mergeCell ref="H456:I456"/>
    <mergeCell ref="I496:J496"/>
    <mergeCell ref="A264:L264"/>
    <mergeCell ref="F348:G348"/>
    <mergeCell ref="F396:G396"/>
    <mergeCell ref="O248:R248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I385:J385"/>
    <mergeCell ref="I401:J401"/>
    <mergeCell ref="I433:J433"/>
    <mergeCell ref="C440:F440"/>
    <mergeCell ref="C409:F409"/>
    <mergeCell ref="B388:K389"/>
    <mergeCell ref="O344:R344"/>
    <mergeCell ref="I412:K412"/>
    <mergeCell ref="I480:J480"/>
    <mergeCell ref="F443:G443"/>
    <mergeCell ref="B558:C558"/>
    <mergeCell ref="I320:J320"/>
    <mergeCell ref="I316:K316"/>
    <mergeCell ref="A248:L248"/>
    <mergeCell ref="C649:F649"/>
    <mergeCell ref="H409:I409"/>
    <mergeCell ref="C1035:F1035"/>
    <mergeCell ref="T455:Y455"/>
    <mergeCell ref="I352:J352"/>
    <mergeCell ref="I304:J304"/>
    <mergeCell ref="O791:R791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24:F924"/>
    <mergeCell ref="B935:K936"/>
    <mergeCell ref="B467:K468"/>
    <mergeCell ref="I449:J449"/>
    <mergeCell ref="H519:I519"/>
    <mergeCell ref="B596:K597"/>
    <mergeCell ref="B1008:C1008"/>
    <mergeCell ref="B967:K968"/>
    <mergeCell ref="I538:K538"/>
    <mergeCell ref="B414:C414"/>
    <mergeCell ref="I668:K668"/>
    <mergeCell ref="C1458:F1458"/>
    <mergeCell ref="B1469:K1470"/>
    <mergeCell ref="F1461:G1461"/>
    <mergeCell ref="H808:I808"/>
    <mergeCell ref="H745:I745"/>
    <mergeCell ref="F748:G748"/>
    <mergeCell ref="H1458:I1458"/>
    <mergeCell ref="C519:F519"/>
    <mergeCell ref="A1421:L1421"/>
    <mergeCell ref="B1433:K1434"/>
    <mergeCell ref="A1436:L1436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I588:K588"/>
    <mergeCell ref="F572:G572"/>
    <mergeCell ref="B1418:K1419"/>
    <mergeCell ref="I1446:J1446"/>
    <mergeCell ref="B803:K804"/>
    <mergeCell ref="A471:L471"/>
    <mergeCell ref="B654:C654"/>
    <mergeCell ref="I542:J542"/>
    <mergeCell ref="I543:J543"/>
    <mergeCell ref="H617:I617"/>
    <mergeCell ref="F620:G620"/>
    <mergeCell ref="I620:K620"/>
    <mergeCell ref="B580:K581"/>
    <mergeCell ref="I1172:J1172"/>
    <mergeCell ref="A1130:L1130"/>
    <mergeCell ref="B1024:C1024"/>
    <mergeCell ref="A1178:L1178"/>
    <mergeCell ref="I1262:K1262"/>
    <mergeCell ref="H1163:I1163"/>
    <mergeCell ref="B1206:K1207"/>
    <mergeCell ref="A1194:L1194"/>
    <mergeCell ref="I1203:J1203"/>
    <mergeCell ref="F1198:G1198"/>
    <mergeCell ref="B676:K677"/>
    <mergeCell ref="I658:J658"/>
    <mergeCell ref="A518:L518"/>
    <mergeCell ref="A664:L664"/>
    <mergeCell ref="F668:G668"/>
    <mergeCell ref="I513:J513"/>
    <mergeCell ref="I561:J561"/>
    <mergeCell ref="B670:C670"/>
    <mergeCell ref="B540:C540"/>
    <mergeCell ref="T1457:Y1457"/>
    <mergeCell ref="T518:Y518"/>
    <mergeCell ref="T552:Y552"/>
    <mergeCell ref="O616:R616"/>
    <mergeCell ref="O1002:R1002"/>
    <mergeCell ref="T616:Y616"/>
    <mergeCell ref="O552:R552"/>
    <mergeCell ref="F716:G716"/>
    <mergeCell ref="T1392:Y1392"/>
    <mergeCell ref="I463:J463"/>
    <mergeCell ref="T439:Y439"/>
    <mergeCell ref="T791:Y791"/>
    <mergeCell ref="B750:C750"/>
    <mergeCell ref="F764:G764"/>
    <mergeCell ref="T1408:Y1408"/>
    <mergeCell ref="B919:K920"/>
    <mergeCell ref="I911:K911"/>
    <mergeCell ref="I901:J901"/>
    <mergeCell ref="O823:R823"/>
    <mergeCell ref="B1412:C1412"/>
    <mergeCell ref="A1326:L1326"/>
    <mergeCell ref="C1377:F1377"/>
    <mergeCell ref="I700:K700"/>
    <mergeCell ref="C569:F569"/>
    <mergeCell ref="I780:K780"/>
    <mergeCell ref="H601:I601"/>
    <mergeCell ref="B612:K613"/>
    <mergeCell ref="O955:R955"/>
    <mergeCell ref="I965:J965"/>
    <mergeCell ref="I1011:J1011"/>
    <mergeCell ref="I608:J608"/>
    <mergeCell ref="B1216:C1216"/>
    <mergeCell ref="O1423:R1423"/>
    <mergeCell ref="I1385:J1385"/>
    <mergeCell ref="I1400:J1400"/>
    <mergeCell ref="B1382:C1382"/>
    <mergeCell ref="F1364:G1364"/>
    <mergeCell ref="I1429:J1429"/>
    <mergeCell ref="I1430:J1430"/>
    <mergeCell ref="O1392:R1392"/>
    <mergeCell ref="A1360:L1360"/>
    <mergeCell ref="T487:Y487"/>
    <mergeCell ref="T423:Y423"/>
    <mergeCell ref="O487:R487"/>
    <mergeCell ref="O568:R568"/>
    <mergeCell ref="C956:F956"/>
    <mergeCell ref="I997:J997"/>
    <mergeCell ref="I998:J998"/>
    <mergeCell ref="I979:J979"/>
    <mergeCell ref="T1034:Y1034"/>
    <mergeCell ref="O1114:R1114"/>
    <mergeCell ref="F427:G427"/>
    <mergeCell ref="I427:K427"/>
    <mergeCell ref="I1107:J1107"/>
    <mergeCell ref="I1070:K1070"/>
    <mergeCell ref="C1099:F1099"/>
    <mergeCell ref="A1082:L1082"/>
    <mergeCell ref="I1043:J1043"/>
    <mergeCell ref="I883:J883"/>
    <mergeCell ref="C761:F761"/>
    <mergeCell ref="B797:C797"/>
    <mergeCell ref="I799:J799"/>
    <mergeCell ref="I800:J800"/>
    <mergeCell ref="A843:L843"/>
    <mergeCell ref="C1452:F1452"/>
    <mergeCell ref="H1452:I1452"/>
    <mergeCell ref="I1425:K1425"/>
    <mergeCell ref="H1437:I1437"/>
    <mergeCell ref="F1440:G1440"/>
    <mergeCell ref="I1386:J1386"/>
    <mergeCell ref="C1344:F1344"/>
    <mergeCell ref="H1344:I1344"/>
    <mergeCell ref="I1440:K1440"/>
    <mergeCell ref="B1397:C1397"/>
    <mergeCell ref="I1368:J1368"/>
    <mergeCell ref="H1392:I1392"/>
    <mergeCell ref="F1395:G1395"/>
    <mergeCell ref="I1395:K1395"/>
    <mergeCell ref="I1252:J1252"/>
    <mergeCell ref="O1439:R1439"/>
    <mergeCell ref="O1376:R1376"/>
    <mergeCell ref="H1407:I1407"/>
    <mergeCell ref="I1416:J1416"/>
    <mergeCell ref="A1391:L1391"/>
    <mergeCell ref="I1401:J1401"/>
    <mergeCell ref="C1437:F1437"/>
    <mergeCell ref="C1407:F1407"/>
    <mergeCell ref="O1343:R1343"/>
    <mergeCell ref="F1425:G1425"/>
    <mergeCell ref="O1408:R1408"/>
    <mergeCell ref="C1392:F1392"/>
    <mergeCell ref="A1406:L1406"/>
    <mergeCell ref="B1427:C1427"/>
    <mergeCell ref="I1414:J1414"/>
    <mergeCell ref="I1415:J1415"/>
    <mergeCell ref="I1369:J1369"/>
    <mergeCell ref="C535:F535"/>
    <mergeCell ref="I576:J576"/>
    <mergeCell ref="H972:I972"/>
    <mergeCell ref="I577:J577"/>
    <mergeCell ref="I1198:K1198"/>
    <mergeCell ref="B1200:C1200"/>
    <mergeCell ref="C1195:F1195"/>
    <mergeCell ref="A1451:L1451"/>
    <mergeCell ref="I816:J816"/>
    <mergeCell ref="A728:L728"/>
    <mergeCell ref="I720:J720"/>
    <mergeCell ref="B772:K773"/>
    <mergeCell ref="A791:L791"/>
    <mergeCell ref="A1114:L1114"/>
    <mergeCell ref="I895:K895"/>
    <mergeCell ref="B897:C897"/>
    <mergeCell ref="I899:J899"/>
    <mergeCell ref="H1195:I1195"/>
    <mergeCell ref="I1204:J1204"/>
    <mergeCell ref="B1448:K1449"/>
    <mergeCell ref="H585:I585"/>
    <mergeCell ref="B606:C606"/>
    <mergeCell ref="B1355:K1356"/>
    <mergeCell ref="I1320:J1320"/>
    <mergeCell ref="I1352:J1352"/>
    <mergeCell ref="B1338:K1339"/>
    <mergeCell ref="H1422:I1422"/>
    <mergeCell ref="I1380:K1380"/>
    <mergeCell ref="A568:L568"/>
    <mergeCell ref="B983:K984"/>
    <mergeCell ref="I981:J981"/>
    <mergeCell ref="I1010:J1010"/>
    <mergeCell ref="C472:F472"/>
    <mergeCell ref="I562:J562"/>
    <mergeCell ref="B564:K565"/>
    <mergeCell ref="C1131:F1131"/>
    <mergeCell ref="H1131:I1131"/>
    <mergeCell ref="C1163:F1163"/>
    <mergeCell ref="I1171:J1171"/>
    <mergeCell ref="B835:K836"/>
    <mergeCell ref="F827:G827"/>
    <mergeCell ref="H504:I504"/>
    <mergeCell ref="H892:I892"/>
    <mergeCell ref="B961:C961"/>
    <mergeCell ref="C876:F876"/>
    <mergeCell ref="I975:K975"/>
    <mergeCell ref="A971:L971"/>
    <mergeCell ref="F795:G795"/>
    <mergeCell ref="F652:G652"/>
    <mergeCell ref="B477:C477"/>
    <mergeCell ref="I497:J497"/>
    <mergeCell ref="I656:J656"/>
    <mergeCell ref="I657:J657"/>
    <mergeCell ref="I652:K652"/>
    <mergeCell ref="I592:J592"/>
    <mergeCell ref="H665:I665"/>
    <mergeCell ref="H649:I649"/>
    <mergeCell ref="A807:L807"/>
    <mergeCell ref="B1014:K1015"/>
    <mergeCell ref="A712:L712"/>
    <mergeCell ref="H956:I956"/>
    <mergeCell ref="F780:G780"/>
    <mergeCell ref="F538:G538"/>
    <mergeCell ref="I1156:J1156"/>
    <mergeCell ref="I1465:J1465"/>
    <mergeCell ref="I1466:J1466"/>
    <mergeCell ref="H1003:I1003"/>
    <mergeCell ref="H1067:I1067"/>
    <mergeCell ref="I1336:J1336"/>
    <mergeCell ref="B1463:C1463"/>
    <mergeCell ref="I1314:K1314"/>
    <mergeCell ref="C713:F713"/>
    <mergeCell ref="I736:J736"/>
    <mergeCell ref="F959:G959"/>
    <mergeCell ref="I1266:J1266"/>
    <mergeCell ref="I1166:K1166"/>
    <mergeCell ref="F895:G895"/>
    <mergeCell ref="A923:L923"/>
    <mergeCell ref="B1126:K1127"/>
    <mergeCell ref="I1410:K1410"/>
    <mergeCell ref="B1349:C1349"/>
    <mergeCell ref="I1384:J1384"/>
    <mergeCell ref="C940:F940"/>
    <mergeCell ref="A891:L891"/>
    <mergeCell ref="I1461:K1461"/>
    <mergeCell ref="I1280:K1280"/>
    <mergeCell ref="F1298:G1298"/>
    <mergeCell ref="B1254:K1255"/>
    <mergeCell ref="I784:J784"/>
    <mergeCell ref="H824:I824"/>
    <mergeCell ref="I1284:J1284"/>
    <mergeCell ref="A1242:L1242"/>
    <mergeCell ref="I1445:J1445"/>
    <mergeCell ref="B1190:K1191"/>
    <mergeCell ref="I1335:J1335"/>
    <mergeCell ref="I1351:J1351"/>
    <mergeCell ref="I1467:J1467"/>
    <mergeCell ref="F1230:G1230"/>
    <mergeCell ref="I764:K764"/>
    <mergeCell ref="B622:C622"/>
    <mergeCell ref="B702:C702"/>
    <mergeCell ref="I609:J609"/>
    <mergeCell ref="H792:I792"/>
    <mergeCell ref="B813:C813"/>
    <mergeCell ref="I642:J642"/>
    <mergeCell ref="F943:G943"/>
    <mergeCell ref="I943:K943"/>
    <mergeCell ref="B945:C945"/>
    <mergeCell ref="I947:J947"/>
    <mergeCell ref="I948:J948"/>
    <mergeCell ref="B1248:C1248"/>
    <mergeCell ref="C1067:F1067"/>
    <mergeCell ref="B1264:C1264"/>
    <mergeCell ref="B1332:C1332"/>
    <mergeCell ref="A1294:L1294"/>
    <mergeCell ref="B1300:C1300"/>
    <mergeCell ref="F975:G975"/>
    <mergeCell ref="I1285:J1285"/>
    <mergeCell ref="I1214:K1214"/>
    <mergeCell ref="A955:L955"/>
    <mergeCell ref="B1270:K1271"/>
    <mergeCell ref="B1030:K1031"/>
    <mergeCell ref="I721:J721"/>
    <mergeCell ref="C777:F777"/>
    <mergeCell ref="A616:L616"/>
    <mergeCell ref="I684:K684"/>
    <mergeCell ref="B686:C686"/>
    <mergeCell ref="I640:J640"/>
    <mergeCell ref="T568:Y568"/>
    <mergeCell ref="T1002:Y1002"/>
    <mergeCell ref="T584:Y584"/>
    <mergeCell ref="T664:Y664"/>
    <mergeCell ref="C585:F585"/>
    <mergeCell ref="I833:J833"/>
    <mergeCell ref="I811:K811"/>
    <mergeCell ref="B1442:C1442"/>
    <mergeCell ref="I1444:J1444"/>
    <mergeCell ref="I1268:J1268"/>
    <mergeCell ref="B782:C782"/>
    <mergeCell ref="I770:J770"/>
    <mergeCell ref="A1276:L1276"/>
    <mergeCell ref="T1194:Y1194"/>
    <mergeCell ref="C1243:F1243"/>
    <mergeCell ref="H1243:I1243"/>
    <mergeCell ref="F1246:G1246"/>
    <mergeCell ref="I1246:K1246"/>
    <mergeCell ref="I1251:J1251"/>
    <mergeCell ref="I624:J624"/>
    <mergeCell ref="A680:L680"/>
    <mergeCell ref="I673:J673"/>
    <mergeCell ref="I963:J963"/>
    <mergeCell ref="I964:J964"/>
    <mergeCell ref="H697:I697"/>
    <mergeCell ref="F700:G700"/>
    <mergeCell ref="I1431:J1431"/>
    <mergeCell ref="B1366:C1366"/>
    <mergeCell ref="I827:K827"/>
    <mergeCell ref="T1439:Y1439"/>
    <mergeCell ref="T1360:Y1360"/>
    <mergeCell ref="A1226:L1226"/>
    <mergeCell ref="O38:R38"/>
    <mergeCell ref="I769:J769"/>
    <mergeCell ref="A760:L760"/>
    <mergeCell ref="O760:R760"/>
    <mergeCell ref="O119:R119"/>
    <mergeCell ref="B692:K693"/>
    <mergeCell ref="I688:J688"/>
    <mergeCell ref="I689:J689"/>
    <mergeCell ref="I690:J690"/>
    <mergeCell ref="C681:F681"/>
    <mergeCell ref="H681:I681"/>
    <mergeCell ref="F684:G684"/>
    <mergeCell ref="B318:C318"/>
    <mergeCell ref="I704:J704"/>
    <mergeCell ref="I705:J705"/>
    <mergeCell ref="I706:J706"/>
    <mergeCell ref="C697:F697"/>
    <mergeCell ref="B212:K213"/>
    <mergeCell ref="B499:K500"/>
    <mergeCell ref="I400:J400"/>
    <mergeCell ref="I224:J224"/>
    <mergeCell ref="I225:J225"/>
    <mergeCell ref="I226:J226"/>
    <mergeCell ref="A744:L744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A487:L487"/>
    <mergeCell ref="I1027:J1027"/>
    <mergeCell ref="O1294:R1294"/>
    <mergeCell ref="F522:G522"/>
    <mergeCell ref="I522:K522"/>
    <mergeCell ref="B524:C524"/>
    <mergeCell ref="I593:J593"/>
    <mergeCell ref="I594:J594"/>
    <mergeCell ref="T648:Y648"/>
    <mergeCell ref="B766:C766"/>
    <mergeCell ref="I786:J786"/>
    <mergeCell ref="F990:G990"/>
    <mergeCell ref="I990:K990"/>
    <mergeCell ref="I927:K927"/>
    <mergeCell ref="B929:C929"/>
    <mergeCell ref="I931:J931"/>
    <mergeCell ref="I1091:J1091"/>
    <mergeCell ref="F1280:G1280"/>
    <mergeCell ref="I916:J916"/>
    <mergeCell ref="I1188:J1188"/>
    <mergeCell ref="B628:K629"/>
    <mergeCell ref="I722:J722"/>
    <mergeCell ref="B724:K725"/>
    <mergeCell ref="I732:K732"/>
    <mergeCell ref="A859:L859"/>
    <mergeCell ref="I832:J832"/>
    <mergeCell ref="F636:G636"/>
    <mergeCell ref="I636:K636"/>
    <mergeCell ref="B638:C638"/>
    <mergeCell ref="I817:J817"/>
    <mergeCell ref="B1120:C1120"/>
    <mergeCell ref="C987:F987"/>
    <mergeCell ref="H249:I249"/>
    <mergeCell ref="A455:L455"/>
    <mergeCell ref="I1202:J1202"/>
    <mergeCell ref="B366:C366"/>
    <mergeCell ref="I464:J464"/>
    <mergeCell ref="I879:K879"/>
    <mergeCell ref="B881:C881"/>
    <mergeCell ref="B734:C734"/>
    <mergeCell ref="I851:J851"/>
    <mergeCell ref="I748:K748"/>
    <mergeCell ref="I737:J737"/>
    <mergeCell ref="B1094:K1095"/>
    <mergeCell ref="A1457:L1457"/>
    <mergeCell ref="O1194:R1194"/>
    <mergeCell ref="H281:I281"/>
    <mergeCell ref="O423:R423"/>
    <mergeCell ref="O534:R534"/>
    <mergeCell ref="I1303:J1303"/>
    <mergeCell ref="I1304:J1304"/>
    <mergeCell ref="C1295:F1295"/>
    <mergeCell ref="C1361:F1361"/>
    <mergeCell ref="H488:I488"/>
    <mergeCell ref="I465:J465"/>
    <mergeCell ref="F911:G911"/>
    <mergeCell ref="I544:J544"/>
    <mergeCell ref="B1372:K1373"/>
    <mergeCell ref="F1380:G1380"/>
    <mergeCell ref="A503:L503"/>
    <mergeCell ref="H440:I440"/>
    <mergeCell ref="I556:K556"/>
    <mergeCell ref="I1399:J1399"/>
    <mergeCell ref="B1403:K1404"/>
    <mergeCell ref="B461:C461"/>
    <mergeCell ref="T1114:Y1114"/>
    <mergeCell ref="T1258:Y1258"/>
    <mergeCell ref="O859:R859"/>
    <mergeCell ref="I1347:K1347"/>
    <mergeCell ref="O1226:R1226"/>
    <mergeCell ref="B1022:C1022"/>
    <mergeCell ref="F1347:G1347"/>
    <mergeCell ref="B1238:K1239"/>
    <mergeCell ref="I738:J738"/>
    <mergeCell ref="B740:K741"/>
    <mergeCell ref="C1422:F1422"/>
    <mergeCell ref="O1242:R1242"/>
    <mergeCell ref="T1178:Y1178"/>
    <mergeCell ref="T1146:Y1146"/>
    <mergeCell ref="T1376:Y1376"/>
    <mergeCell ref="C1227:F1227"/>
    <mergeCell ref="H1227:I1227"/>
    <mergeCell ref="H1377:I1377"/>
    <mergeCell ref="F1410:G1410"/>
    <mergeCell ref="I1286:J1286"/>
    <mergeCell ref="I1354:J1354"/>
    <mergeCell ref="T1066:Y1066"/>
    <mergeCell ref="T728:Y728"/>
    <mergeCell ref="T923:Y923"/>
    <mergeCell ref="I1318:J1318"/>
    <mergeCell ref="A1343:L1343"/>
    <mergeCell ref="O939:R939"/>
    <mergeCell ref="O1276:R1276"/>
    <mergeCell ref="O1310:R1310"/>
    <mergeCell ref="C1327:F1327"/>
    <mergeCell ref="H1327:I1327"/>
    <mergeCell ref="T232:Y232"/>
    <mergeCell ref="O328:R328"/>
    <mergeCell ref="O312:R312"/>
    <mergeCell ref="T312:Y312"/>
    <mergeCell ref="O360:R360"/>
    <mergeCell ref="O408:R408"/>
    <mergeCell ref="O584:R584"/>
    <mergeCell ref="I1298:K1298"/>
    <mergeCell ref="I1250:J1250"/>
    <mergeCell ref="B1306:K1307"/>
    <mergeCell ref="I1235:J1235"/>
    <mergeCell ref="I1236:J1236"/>
    <mergeCell ref="I526:J526"/>
    <mergeCell ref="I527:J527"/>
    <mergeCell ref="I625:J625"/>
    <mergeCell ref="T471:Y471"/>
    <mergeCell ref="T859:Y859"/>
    <mergeCell ref="T1276:Y1276"/>
    <mergeCell ref="O664:R664"/>
    <mergeCell ref="O680:R680"/>
    <mergeCell ref="O648:R648"/>
    <mergeCell ref="T939:Y939"/>
    <mergeCell ref="B660:K661"/>
    <mergeCell ref="I672:J672"/>
    <mergeCell ref="I1138:J1138"/>
    <mergeCell ref="F1102:G1102"/>
    <mergeCell ref="I1102:K1102"/>
    <mergeCell ref="B1104:C1104"/>
    <mergeCell ref="I1090:J1090"/>
    <mergeCell ref="F1182:G1182"/>
    <mergeCell ref="I768:J768"/>
    <mergeCell ref="T503:Y503"/>
    <mergeCell ref="F412:G412"/>
    <mergeCell ref="F507:G507"/>
    <mergeCell ref="A376:L376"/>
    <mergeCell ref="I448:J448"/>
    <mergeCell ref="I933:J933"/>
    <mergeCell ref="T843:Y843"/>
    <mergeCell ref="H940:I940"/>
    <mergeCell ref="T907:Y907"/>
    <mergeCell ref="O1130:R1130"/>
    <mergeCell ref="B788:K789"/>
    <mergeCell ref="B819:K820"/>
    <mergeCell ref="I815:J815"/>
    <mergeCell ref="O471:R471"/>
    <mergeCell ref="O776:R776"/>
    <mergeCell ref="T776:Y776"/>
    <mergeCell ref="T712:Y712"/>
    <mergeCell ref="H713:I713"/>
    <mergeCell ref="O712:R712"/>
    <mergeCell ref="T600:Y600"/>
    <mergeCell ref="I610:J610"/>
    <mergeCell ref="C601:F601"/>
    <mergeCell ref="O744:R744"/>
    <mergeCell ref="F811:G811"/>
    <mergeCell ref="B708:K709"/>
    <mergeCell ref="T760:Y760"/>
    <mergeCell ref="T807:Y807"/>
    <mergeCell ref="H729:I729"/>
    <mergeCell ref="B718:C718"/>
    <mergeCell ref="O807:R807"/>
    <mergeCell ref="I785:J785"/>
    <mergeCell ref="H924:I924"/>
    <mergeCell ref="F927:G927"/>
    <mergeCell ref="T1423:Y1423"/>
    <mergeCell ref="T875:Y875"/>
    <mergeCell ref="C860:F860"/>
    <mergeCell ref="H876:I876"/>
    <mergeCell ref="F879:G879"/>
    <mergeCell ref="O728:R728"/>
    <mergeCell ref="H1035:I1035"/>
    <mergeCell ref="F1038:G1038"/>
    <mergeCell ref="I1038:K1038"/>
    <mergeCell ref="B865:C865"/>
    <mergeCell ref="O632:R632"/>
    <mergeCell ref="T632:Y632"/>
    <mergeCell ref="C633:F633"/>
    <mergeCell ref="H633:I633"/>
    <mergeCell ref="I1026:J1026"/>
    <mergeCell ref="T1310:Y1310"/>
    <mergeCell ref="T1294:Y1294"/>
    <mergeCell ref="T1242:Y1242"/>
    <mergeCell ref="T1226:Y1226"/>
    <mergeCell ref="I1302:J1302"/>
    <mergeCell ref="B1062:K1063"/>
    <mergeCell ref="I1058:J1058"/>
    <mergeCell ref="I1059:J1059"/>
    <mergeCell ref="B829:C829"/>
    <mergeCell ref="A823:L823"/>
    <mergeCell ref="I1364:K1364"/>
    <mergeCell ref="A1376:L1376"/>
    <mergeCell ref="O1082:R1082"/>
    <mergeCell ref="O907:R907"/>
    <mergeCell ref="C1311:F1311"/>
    <mergeCell ref="H1361:I1361"/>
    <mergeCell ref="B1232:C1232"/>
    <mergeCell ref="T1162:Y1162"/>
    <mergeCell ref="B977:C977"/>
    <mergeCell ref="O875:R875"/>
    <mergeCell ref="I915:J915"/>
    <mergeCell ref="I847:K847"/>
    <mergeCell ref="T1130:Y1130"/>
    <mergeCell ref="O1050:R1050"/>
    <mergeCell ref="H844:I844"/>
    <mergeCell ref="C1115:F1115"/>
    <mergeCell ref="I1092:J1092"/>
    <mergeCell ref="I1074:J1074"/>
    <mergeCell ref="B1072:C1072"/>
    <mergeCell ref="I1182:K1182"/>
    <mergeCell ref="H1311:I1311"/>
    <mergeCell ref="I1319:J1319"/>
    <mergeCell ref="I1334:J1334"/>
    <mergeCell ref="B1282:C1282"/>
    <mergeCell ref="I1106:J1106"/>
    <mergeCell ref="C1147:F1147"/>
    <mergeCell ref="T955:Y955"/>
    <mergeCell ref="T1050:Y1050"/>
    <mergeCell ref="T1098:Y1098"/>
    <mergeCell ref="T1210:Y1210"/>
    <mergeCell ref="C1259:F1259"/>
    <mergeCell ref="H1259:I1259"/>
    <mergeCell ref="F1262:G1262"/>
    <mergeCell ref="I869:J869"/>
    <mergeCell ref="I1155:J1155"/>
    <mergeCell ref="F1214:G1214"/>
    <mergeCell ref="B1158:K1159"/>
    <mergeCell ref="O1258:R1258"/>
    <mergeCell ref="A1258:L1258"/>
    <mergeCell ref="B530:K531"/>
    <mergeCell ref="I994:J994"/>
    <mergeCell ref="I995:J995"/>
    <mergeCell ref="I578:J578"/>
    <mergeCell ref="A1002:L1002"/>
    <mergeCell ref="I1012:J1012"/>
    <mergeCell ref="A939:L939"/>
    <mergeCell ref="I949:J949"/>
    <mergeCell ref="C844:F844"/>
    <mergeCell ref="H1147:I1147"/>
    <mergeCell ref="C1051:F1051"/>
    <mergeCell ref="H1051:I1051"/>
    <mergeCell ref="F1054:G1054"/>
    <mergeCell ref="H535:I535"/>
    <mergeCell ref="T823:Y823"/>
    <mergeCell ref="B1056:C1056"/>
    <mergeCell ref="I1054:K1054"/>
    <mergeCell ref="A1066:L1066"/>
    <mergeCell ref="T696:Y696"/>
    <mergeCell ref="C617:F617"/>
    <mergeCell ref="I626:J626"/>
    <mergeCell ref="A696:L696"/>
    <mergeCell ref="I885:J885"/>
    <mergeCell ref="F556:G556"/>
    <mergeCell ref="H569:I569"/>
    <mergeCell ref="A552:L552"/>
    <mergeCell ref="B887:K888"/>
    <mergeCell ref="C908:F908"/>
    <mergeCell ref="H908:I908"/>
    <mergeCell ref="H1083:I1083"/>
    <mergeCell ref="I884:J884"/>
    <mergeCell ref="A648:L648"/>
  </mergeCells>
  <phoneticPr fontId="3" type="noConversion"/>
  <printOptions horizontalCentered="1"/>
  <pageMargins left="0" right="0" top="0.25" bottom="1" header="0.5" footer="0.5"/>
  <pageSetup paperSize="9" scale="76" fitToHeight="0" orientation="portrait" r:id="rId1"/>
  <headerFooter alignWithMargins="0"/>
  <rowBreaks count="10" manualBreakCount="10">
    <brk id="358" max="11" man="1"/>
    <brk id="485" max="11" man="1"/>
    <brk id="548" max="11" man="1"/>
    <brk id="630" max="11" man="1"/>
    <brk id="694" max="11" man="1"/>
    <brk id="758" max="11" man="1"/>
    <brk id="937" max="11" man="1"/>
    <brk id="1032" max="11" man="1"/>
    <brk id="1096" max="11" man="1"/>
    <brk id="1471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42">
        <v>44136</v>
      </c>
      <c r="B4" s="542"/>
      <c r="C4" s="542"/>
      <c r="D4" s="542"/>
      <c r="E4" s="542"/>
      <c r="F4" s="542"/>
      <c r="G4" s="542"/>
    </row>
    <row r="5" spans="1:7" ht="21" x14ac:dyDescent="0.35">
      <c r="A5" s="543" t="s">
        <v>124</v>
      </c>
      <c r="B5" s="543"/>
      <c r="C5" s="543"/>
      <c r="D5" s="543"/>
      <c r="E5" s="543"/>
      <c r="F5" s="543"/>
      <c r="G5" s="543"/>
    </row>
    <row r="6" spans="1:7" ht="15" x14ac:dyDescent="0.25">
      <c r="A6" s="135" t="s">
        <v>0</v>
      </c>
      <c r="B6" s="135" t="s">
        <v>1</v>
      </c>
      <c r="C6" s="135" t="s">
        <v>125</v>
      </c>
      <c r="D6" s="135" t="s">
        <v>126</v>
      </c>
      <c r="E6" s="135" t="s">
        <v>127</v>
      </c>
      <c r="F6" s="135" t="s">
        <v>128</v>
      </c>
      <c r="G6" s="135" t="s">
        <v>129</v>
      </c>
    </row>
    <row r="7" spans="1:7" x14ac:dyDescent="0.2">
      <c r="A7" s="126" t="s">
        <v>130</v>
      </c>
      <c r="B7" s="124">
        <v>25000</v>
      </c>
      <c r="C7" s="124">
        <v>15</v>
      </c>
      <c r="D7" s="124">
        <v>-5</v>
      </c>
      <c r="E7" s="124">
        <f>B7/31*C7</f>
        <v>12096.774193548388</v>
      </c>
      <c r="F7" s="124">
        <f>B7/30/8*D7</f>
        <v>-520.83333333333337</v>
      </c>
      <c r="G7" s="124">
        <f>E7+F7</f>
        <v>11575.940860215054</v>
      </c>
    </row>
    <row r="8" spans="1:7" x14ac:dyDescent="0.2">
      <c r="A8" s="126" t="s">
        <v>131</v>
      </c>
      <c r="B8" s="124">
        <v>600</v>
      </c>
      <c r="C8" s="124">
        <v>15</v>
      </c>
      <c r="D8" s="124">
        <v>-13</v>
      </c>
      <c r="E8" s="124">
        <f>B8*C8</f>
        <v>9000</v>
      </c>
      <c r="F8" s="124">
        <f>B8/8*D8</f>
        <v>-975</v>
      </c>
      <c r="G8" s="124">
        <f>E8+F8</f>
        <v>8025</v>
      </c>
    </row>
    <row r="9" spans="1:7" x14ac:dyDescent="0.2">
      <c r="A9" s="126" t="s">
        <v>201</v>
      </c>
      <c r="B9" s="124">
        <v>600</v>
      </c>
      <c r="C9" s="124">
        <v>15</v>
      </c>
      <c r="D9" s="124">
        <v>-14</v>
      </c>
      <c r="E9" s="124">
        <f t="shared" ref="E9" si="0">B9*C9</f>
        <v>9000</v>
      </c>
      <c r="F9" s="124">
        <f>B9/8*D9</f>
        <v>-1050</v>
      </c>
      <c r="G9" s="124">
        <f t="shared" ref="G9" si="1">E9+F9</f>
        <v>7950</v>
      </c>
    </row>
    <row r="10" spans="1:7" ht="18.75" x14ac:dyDescent="0.3">
      <c r="A10" s="544" t="s">
        <v>129</v>
      </c>
      <c r="B10" s="544"/>
      <c r="C10" s="544"/>
      <c r="D10" s="544"/>
      <c r="E10" s="544"/>
      <c r="F10" s="544"/>
      <c r="G10" s="136">
        <f>SUM(G7:G9)</f>
        <v>27550.940860215054</v>
      </c>
    </row>
    <row r="13" spans="1:7" ht="26.25" x14ac:dyDescent="0.4">
      <c r="A13" s="542">
        <v>44105</v>
      </c>
      <c r="B13" s="542"/>
      <c r="C13" s="542"/>
      <c r="D13" s="542"/>
      <c r="E13" s="542"/>
      <c r="F13" s="542"/>
      <c r="G13" s="542"/>
    </row>
    <row r="14" spans="1:7" ht="21" x14ac:dyDescent="0.35">
      <c r="A14" s="543" t="s">
        <v>124</v>
      </c>
      <c r="B14" s="543"/>
      <c r="C14" s="543"/>
      <c r="D14" s="543"/>
      <c r="E14" s="543"/>
      <c r="F14" s="543"/>
      <c r="G14" s="543"/>
    </row>
    <row r="15" spans="1:7" ht="15" x14ac:dyDescent="0.25">
      <c r="A15" s="135" t="s">
        <v>0</v>
      </c>
      <c r="B15" s="135" t="s">
        <v>1</v>
      </c>
      <c r="C15" s="135" t="s">
        <v>125</v>
      </c>
      <c r="D15" s="135" t="s">
        <v>126</v>
      </c>
      <c r="E15" s="135" t="s">
        <v>127</v>
      </c>
      <c r="F15" s="135" t="s">
        <v>128</v>
      </c>
      <c r="G15" s="135" t="s">
        <v>129</v>
      </c>
    </row>
    <row r="16" spans="1:7" x14ac:dyDescent="0.2">
      <c r="A16" s="126" t="s">
        <v>130</v>
      </c>
      <c r="B16" s="124">
        <v>25000</v>
      </c>
      <c r="C16" s="124">
        <v>20</v>
      </c>
      <c r="D16" s="124"/>
      <c r="E16" s="124">
        <f>B16/31*C16</f>
        <v>16129.032258064517</v>
      </c>
      <c r="F16" s="124">
        <v>0</v>
      </c>
      <c r="G16" s="124">
        <f>E16+F16</f>
        <v>16129.032258064517</v>
      </c>
    </row>
    <row r="17" spans="1:9" x14ac:dyDescent="0.2">
      <c r="A17" s="126" t="s">
        <v>131</v>
      </c>
      <c r="B17" s="124">
        <v>600</v>
      </c>
      <c r="C17" s="124">
        <v>17</v>
      </c>
      <c r="D17" s="124"/>
      <c r="E17" s="124">
        <f>B17*C17</f>
        <v>10200</v>
      </c>
      <c r="F17" s="124">
        <f>B17/8*D17</f>
        <v>0</v>
      </c>
      <c r="G17" s="124">
        <f>E17+F17</f>
        <v>10200</v>
      </c>
    </row>
    <row r="18" spans="1:9" x14ac:dyDescent="0.2">
      <c r="A18" s="126" t="s">
        <v>133</v>
      </c>
      <c r="B18" s="124">
        <v>600</v>
      </c>
      <c r="C18" s="124">
        <v>17</v>
      </c>
      <c r="D18" s="124"/>
      <c r="E18" s="124">
        <f t="shared" ref="E18" si="2">B18*C18</f>
        <v>10200</v>
      </c>
      <c r="F18" s="124">
        <f t="shared" ref="F18" si="3">B18/8*D18</f>
        <v>0</v>
      </c>
      <c r="G18" s="124">
        <f t="shared" ref="G18" si="4">E18+F18</f>
        <v>10200</v>
      </c>
    </row>
    <row r="19" spans="1:9" ht="18.75" x14ac:dyDescent="0.3">
      <c r="A19" s="544" t="s">
        <v>129</v>
      </c>
      <c r="B19" s="544"/>
      <c r="C19" s="544"/>
      <c r="D19" s="544"/>
      <c r="E19" s="544"/>
      <c r="F19" s="544"/>
      <c r="G19" s="136">
        <f>SUM(G16:G18)</f>
        <v>36529.032258064515</v>
      </c>
    </row>
    <row r="27" spans="1:9" ht="26.25" x14ac:dyDescent="0.4">
      <c r="A27" s="542">
        <v>43862</v>
      </c>
      <c r="B27" s="542"/>
      <c r="C27" s="542"/>
      <c r="D27" s="542"/>
      <c r="E27" s="542"/>
      <c r="F27" s="542"/>
      <c r="G27" s="542"/>
    </row>
    <row r="28" spans="1:9" ht="21" x14ac:dyDescent="0.35">
      <c r="A28" s="543" t="s">
        <v>124</v>
      </c>
      <c r="B28" s="543"/>
      <c r="C28" s="543"/>
      <c r="D28" s="543"/>
      <c r="E28" s="543"/>
      <c r="F28" s="543"/>
      <c r="G28" s="543"/>
      <c r="H28" s="141"/>
      <c r="I28" s="141"/>
    </row>
    <row r="29" spans="1:9" ht="15" x14ac:dyDescent="0.25">
      <c r="A29" s="135" t="s">
        <v>0</v>
      </c>
      <c r="B29" s="135" t="s">
        <v>1</v>
      </c>
      <c r="C29" s="135" t="s">
        <v>125</v>
      </c>
      <c r="D29" s="135" t="s">
        <v>126</v>
      </c>
      <c r="E29" s="135" t="s">
        <v>127</v>
      </c>
      <c r="F29" s="135" t="s">
        <v>128</v>
      </c>
      <c r="G29" s="135" t="s">
        <v>129</v>
      </c>
    </row>
    <row r="30" spans="1:9" x14ac:dyDescent="0.2">
      <c r="A30" s="126" t="s">
        <v>130</v>
      </c>
      <c r="B30" s="124">
        <v>30000</v>
      </c>
      <c r="C30" s="124">
        <v>21</v>
      </c>
      <c r="D30" s="124">
        <v>1</v>
      </c>
      <c r="E30" s="124">
        <f>B30/31*C30</f>
        <v>20322.580645161292</v>
      </c>
      <c r="F30" s="124">
        <f>B30/30/8*D30</f>
        <v>125</v>
      </c>
      <c r="G30" s="124">
        <f>E30+F30</f>
        <v>20447.580645161292</v>
      </c>
    </row>
    <row r="31" spans="1:9" x14ac:dyDescent="0.2">
      <c r="A31" s="126" t="s">
        <v>131</v>
      </c>
      <c r="B31" s="124">
        <v>800</v>
      </c>
      <c r="C31" s="124">
        <v>14</v>
      </c>
      <c r="D31" s="124">
        <v>1</v>
      </c>
      <c r="E31" s="124">
        <f>B31*C31</f>
        <v>11200</v>
      </c>
      <c r="F31" s="124">
        <f>B31/8*D31</f>
        <v>100</v>
      </c>
      <c r="G31" s="124">
        <f>E31+F31</f>
        <v>11300</v>
      </c>
    </row>
    <row r="32" spans="1:9" x14ac:dyDescent="0.2">
      <c r="A32" s="126" t="s">
        <v>133</v>
      </c>
      <c r="B32" s="124">
        <v>800</v>
      </c>
      <c r="C32" s="124">
        <v>13</v>
      </c>
      <c r="D32" s="124">
        <v>1</v>
      </c>
      <c r="E32" s="124">
        <f t="shared" ref="E32" si="5">B32*C32</f>
        <v>10400</v>
      </c>
      <c r="F32" s="124">
        <f t="shared" ref="F32" si="6">B32/8*D32</f>
        <v>100</v>
      </c>
      <c r="G32" s="124">
        <f t="shared" ref="G32" si="7">E32+F32</f>
        <v>10500</v>
      </c>
    </row>
    <row r="33" spans="1:10" ht="18.75" x14ac:dyDescent="0.3">
      <c r="A33" s="544" t="s">
        <v>129</v>
      </c>
      <c r="B33" s="544"/>
      <c r="C33" s="544"/>
      <c r="D33" s="544"/>
      <c r="E33" s="544"/>
      <c r="F33" s="544"/>
      <c r="G33" s="136">
        <f>SUM(G30:G32)</f>
        <v>42247.580645161288</v>
      </c>
    </row>
    <row r="34" spans="1:10" ht="18.75" x14ac:dyDescent="0.3">
      <c r="A34" s="143"/>
      <c r="B34" s="143"/>
      <c r="C34" s="143"/>
      <c r="D34" s="143"/>
      <c r="E34" s="143"/>
      <c r="F34" s="143"/>
      <c r="G34" s="144"/>
    </row>
    <row r="35" spans="1:10" ht="26.25" x14ac:dyDescent="0.4">
      <c r="A35" s="542">
        <v>43831</v>
      </c>
      <c r="B35" s="542"/>
      <c r="C35" s="542"/>
      <c r="D35" s="542"/>
      <c r="E35" s="542"/>
      <c r="F35" s="542"/>
      <c r="G35" s="542"/>
    </row>
    <row r="36" spans="1:10" ht="21" x14ac:dyDescent="0.35">
      <c r="A36" s="543" t="s">
        <v>124</v>
      </c>
      <c r="B36" s="543"/>
      <c r="C36" s="543"/>
      <c r="D36" s="543"/>
      <c r="E36" s="543"/>
      <c r="F36" s="543"/>
      <c r="G36" s="543"/>
      <c r="H36" s="141" t="s">
        <v>144</v>
      </c>
      <c r="I36" s="141">
        <v>5000</v>
      </c>
    </row>
    <row r="37" spans="1:10" ht="15" x14ac:dyDescent="0.25">
      <c r="A37" s="135" t="s">
        <v>0</v>
      </c>
      <c r="B37" s="135" t="s">
        <v>1</v>
      </c>
      <c r="C37" s="135" t="s">
        <v>125</v>
      </c>
      <c r="D37" s="135" t="s">
        <v>126</v>
      </c>
      <c r="E37" s="135" t="s">
        <v>127</v>
      </c>
      <c r="F37" s="135" t="s">
        <v>128</v>
      </c>
      <c r="G37" s="135" t="s">
        <v>129</v>
      </c>
    </row>
    <row r="38" spans="1:10" x14ac:dyDescent="0.2">
      <c r="A38" s="126" t="s">
        <v>130</v>
      </c>
      <c r="B38" s="124">
        <v>30000</v>
      </c>
      <c r="C38" s="124">
        <f>31-3</f>
        <v>28</v>
      </c>
      <c r="D38" s="124">
        <v>-6</v>
      </c>
      <c r="E38" s="124">
        <f>B38/31*C38</f>
        <v>27096.774193548386</v>
      </c>
      <c r="F38" s="124">
        <f>B38/30/8*D38</f>
        <v>-750</v>
      </c>
      <c r="G38" s="124">
        <f>E38+F38</f>
        <v>26346.774193548386</v>
      </c>
    </row>
    <row r="39" spans="1:10" x14ac:dyDescent="0.2">
      <c r="A39" s="126" t="s">
        <v>131</v>
      </c>
      <c r="B39" s="124">
        <v>800</v>
      </c>
      <c r="C39" s="124">
        <v>23</v>
      </c>
      <c r="D39" s="124">
        <v>-22</v>
      </c>
      <c r="E39" s="124">
        <f>B39*C39</f>
        <v>18400</v>
      </c>
      <c r="F39" s="124">
        <f>B39/8*D39</f>
        <v>-2200</v>
      </c>
      <c r="G39" s="124">
        <f>E39+F39</f>
        <v>16200</v>
      </c>
      <c r="H39">
        <v>2</v>
      </c>
    </row>
    <row r="40" spans="1:10" x14ac:dyDescent="0.2">
      <c r="A40" s="126" t="s">
        <v>133</v>
      </c>
      <c r="B40" s="124">
        <v>800</v>
      </c>
      <c r="C40" s="124">
        <v>24</v>
      </c>
      <c r="D40" s="124">
        <v>-11</v>
      </c>
      <c r="E40" s="124">
        <f t="shared" ref="E40" si="8">B40*C40</f>
        <v>19200</v>
      </c>
      <c r="F40" s="124">
        <f t="shared" ref="F40" si="9">B40/8*D40</f>
        <v>-1100</v>
      </c>
      <c r="G40" s="124">
        <f t="shared" ref="G40" si="10">E40+F40</f>
        <v>18100</v>
      </c>
    </row>
    <row r="41" spans="1:10" ht="18.75" x14ac:dyDescent="0.3">
      <c r="A41" s="544" t="s">
        <v>129</v>
      </c>
      <c r="B41" s="544"/>
      <c r="C41" s="544"/>
      <c r="D41" s="544"/>
      <c r="E41" s="544"/>
      <c r="F41" s="544"/>
      <c r="G41" s="136">
        <f>SUM(G38:G40)</f>
        <v>60646.774193548386</v>
      </c>
    </row>
    <row r="42" spans="1:10" ht="18.75" x14ac:dyDescent="0.3">
      <c r="A42" s="544" t="s">
        <v>145</v>
      </c>
      <c r="B42" s="544"/>
      <c r="C42" s="544"/>
      <c r="D42" s="544"/>
      <c r="E42" s="544"/>
      <c r="F42" s="544"/>
      <c r="G42" s="136">
        <v>5000</v>
      </c>
    </row>
    <row r="43" spans="1:10" ht="18.75" x14ac:dyDescent="0.3">
      <c r="A43" s="544" t="s">
        <v>129</v>
      </c>
      <c r="B43" s="544"/>
      <c r="C43" s="544"/>
      <c r="D43" s="544"/>
      <c r="E43" s="544"/>
      <c r="F43" s="544"/>
      <c r="G43" s="136">
        <f>G41-G42</f>
        <v>55646.774193548386</v>
      </c>
    </row>
    <row r="44" spans="1:10" ht="18.75" x14ac:dyDescent="0.3">
      <c r="A44" s="544"/>
      <c r="B44" s="544"/>
      <c r="C44" s="544"/>
      <c r="D44" s="544"/>
      <c r="E44" s="544"/>
      <c r="F44" s="544"/>
      <c r="G44" s="136"/>
      <c r="H44" s="14"/>
      <c r="J44" s="140"/>
    </row>
    <row r="45" spans="1:10" ht="26.25" x14ac:dyDescent="0.4">
      <c r="A45" s="542" t="s">
        <v>141</v>
      </c>
      <c r="B45" s="542"/>
      <c r="C45" s="542"/>
      <c r="D45" s="542"/>
      <c r="E45" s="542"/>
      <c r="F45" s="542"/>
      <c r="G45" s="542"/>
    </row>
    <row r="46" spans="1:10" ht="21" x14ac:dyDescent="0.35">
      <c r="A46" s="543" t="s">
        <v>124</v>
      </c>
      <c r="B46" s="543"/>
      <c r="C46" s="543"/>
      <c r="D46" s="543"/>
      <c r="E46" s="543"/>
      <c r="F46" s="543"/>
      <c r="G46" s="543"/>
    </row>
    <row r="47" spans="1:10" ht="15" x14ac:dyDescent="0.25">
      <c r="A47" s="135" t="s">
        <v>0</v>
      </c>
      <c r="B47" s="135" t="s">
        <v>1</v>
      </c>
      <c r="C47" s="135" t="s">
        <v>125</v>
      </c>
      <c r="D47" s="135" t="s">
        <v>126</v>
      </c>
      <c r="E47" s="135" t="s">
        <v>127</v>
      </c>
      <c r="F47" s="135" t="s">
        <v>128</v>
      </c>
      <c r="G47" s="135" t="s">
        <v>129</v>
      </c>
    </row>
    <row r="48" spans="1:10" x14ac:dyDescent="0.2">
      <c r="A48" s="126" t="s">
        <v>130</v>
      </c>
      <c r="B48" s="124">
        <v>30000</v>
      </c>
      <c r="C48" s="124">
        <v>27</v>
      </c>
      <c r="D48" s="124">
        <v>-14</v>
      </c>
      <c r="E48" s="124">
        <f>B48/31*C48</f>
        <v>26129.032258064515</v>
      </c>
      <c r="F48" s="124">
        <f>B48/30/8*D48</f>
        <v>-1750</v>
      </c>
      <c r="G48" s="124">
        <f>E48+F48</f>
        <v>24379.032258064515</v>
      </c>
    </row>
    <row r="49" spans="1:10" x14ac:dyDescent="0.2">
      <c r="A49" s="126" t="s">
        <v>131</v>
      </c>
      <c r="B49" s="124">
        <v>800</v>
      </c>
      <c r="C49" s="124">
        <v>19</v>
      </c>
      <c r="D49" s="124">
        <v>-25</v>
      </c>
      <c r="E49" s="124">
        <f>B49*C49</f>
        <v>15200</v>
      </c>
      <c r="F49" s="124">
        <f>B49/8*D49</f>
        <v>-2500</v>
      </c>
      <c r="G49" s="124">
        <f>E49+F49</f>
        <v>12700</v>
      </c>
      <c r="H49">
        <v>2</v>
      </c>
    </row>
    <row r="50" spans="1:10" x14ac:dyDescent="0.2">
      <c r="A50" s="126" t="s">
        <v>133</v>
      </c>
      <c r="B50" s="124">
        <v>800</v>
      </c>
      <c r="C50" s="124">
        <v>21</v>
      </c>
      <c r="D50" s="124">
        <v>-15.5</v>
      </c>
      <c r="E50" s="124">
        <f t="shared" ref="E50" si="11">B50*C50</f>
        <v>16800</v>
      </c>
      <c r="F50" s="124">
        <f t="shared" ref="F50" si="12">B50/8*D50</f>
        <v>-1550</v>
      </c>
      <c r="G50" s="124">
        <f t="shared" ref="G50" si="13">E50+F50</f>
        <v>15250</v>
      </c>
    </row>
    <row r="51" spans="1:10" ht="18.75" x14ac:dyDescent="0.3">
      <c r="A51" s="544" t="s">
        <v>129</v>
      </c>
      <c r="B51" s="544"/>
      <c r="C51" s="544"/>
      <c r="D51" s="544"/>
      <c r="E51" s="544"/>
      <c r="F51" s="544"/>
      <c r="G51" s="136">
        <f>SUM(G48:G50)</f>
        <v>52329.032258064515</v>
      </c>
    </row>
    <row r="52" spans="1:10" ht="18.75" x14ac:dyDescent="0.3">
      <c r="A52" s="544" t="s">
        <v>135</v>
      </c>
      <c r="B52" s="544"/>
      <c r="C52" s="544"/>
      <c r="D52" s="544"/>
      <c r="E52" s="544"/>
      <c r="F52" s="544"/>
      <c r="G52" s="136"/>
      <c r="I52" s="8" t="e">
        <f>F48+F49+#REF!+F50+#REF!</f>
        <v>#REF!</v>
      </c>
      <c r="J52">
        <v>3605</v>
      </c>
    </row>
    <row r="53" spans="1:10" ht="18.75" x14ac:dyDescent="0.3">
      <c r="A53" s="544" t="s">
        <v>129</v>
      </c>
      <c r="B53" s="544"/>
      <c r="C53" s="544"/>
      <c r="D53" s="544"/>
      <c r="E53" s="544"/>
      <c r="F53" s="544"/>
      <c r="G53" s="136">
        <f>G51+G52</f>
        <v>52329.032258064515</v>
      </c>
      <c r="H53" s="14" t="s">
        <v>143</v>
      </c>
      <c r="J53" s="140">
        <v>43844</v>
      </c>
    </row>
    <row r="54" spans="1:10" ht="26.25" x14ac:dyDescent="0.4">
      <c r="A54" s="542" t="s">
        <v>140</v>
      </c>
      <c r="B54" s="542"/>
      <c r="C54" s="542"/>
      <c r="D54" s="542"/>
      <c r="E54" s="542"/>
      <c r="F54" s="542"/>
      <c r="G54" s="542"/>
    </row>
    <row r="55" spans="1:10" ht="21" x14ac:dyDescent="0.35">
      <c r="A55" s="543" t="s">
        <v>124</v>
      </c>
      <c r="B55" s="543"/>
      <c r="C55" s="543"/>
      <c r="D55" s="543"/>
      <c r="E55" s="543"/>
      <c r="F55" s="543"/>
      <c r="G55" s="543"/>
    </row>
    <row r="56" spans="1:10" ht="15" x14ac:dyDescent="0.25">
      <c r="A56" s="135" t="s">
        <v>0</v>
      </c>
      <c r="B56" s="135" t="s">
        <v>1</v>
      </c>
      <c r="C56" s="135" t="s">
        <v>125</v>
      </c>
      <c r="D56" s="135" t="s">
        <v>126</v>
      </c>
      <c r="E56" s="135" t="s">
        <v>127</v>
      </c>
      <c r="F56" s="135" t="s">
        <v>128</v>
      </c>
      <c r="G56" s="135" t="s">
        <v>129</v>
      </c>
    </row>
    <row r="57" spans="1:10" x14ac:dyDescent="0.2">
      <c r="A57" s="126" t="s">
        <v>130</v>
      </c>
      <c r="B57" s="124">
        <v>30000</v>
      </c>
      <c r="C57" s="124">
        <v>20</v>
      </c>
      <c r="D57" s="124">
        <v>-5</v>
      </c>
      <c r="E57" s="124">
        <f>B57/31*C57</f>
        <v>19354.83870967742</v>
      </c>
      <c r="F57" s="124">
        <f>B57/30/8*D57</f>
        <v>-625</v>
      </c>
      <c r="G57" s="124">
        <f>E57+F57</f>
        <v>18729.83870967742</v>
      </c>
    </row>
    <row r="58" spans="1:10" x14ac:dyDescent="0.2">
      <c r="A58" s="126" t="s">
        <v>131</v>
      </c>
      <c r="B58" s="124">
        <v>800</v>
      </c>
      <c r="C58" s="124">
        <v>5</v>
      </c>
      <c r="D58" s="124">
        <v>-8</v>
      </c>
      <c r="E58" s="124">
        <f>B58*C58</f>
        <v>4000</v>
      </c>
      <c r="F58" s="124">
        <f>B58/8*D58</f>
        <v>-800</v>
      </c>
      <c r="G58" s="124">
        <f>E58+F58</f>
        <v>3200</v>
      </c>
      <c r="H58">
        <v>2</v>
      </c>
    </row>
    <row r="59" spans="1:10" x14ac:dyDescent="0.2">
      <c r="A59" s="126" t="s">
        <v>132</v>
      </c>
      <c r="B59" s="124">
        <v>800</v>
      </c>
      <c r="C59" s="124">
        <v>5</v>
      </c>
      <c r="D59" s="124">
        <v>-8</v>
      </c>
      <c r="E59" s="124">
        <f t="shared" ref="E59:E61" si="14">B59*C59</f>
        <v>4000</v>
      </c>
      <c r="F59" s="124">
        <f t="shared" ref="F59:F61" si="15">B59/8*D59</f>
        <v>-800</v>
      </c>
      <c r="G59" s="124">
        <f t="shared" ref="G59:G61" si="16">E59+F59</f>
        <v>3200</v>
      </c>
      <c r="H59">
        <v>2</v>
      </c>
    </row>
    <row r="60" spans="1:10" x14ac:dyDescent="0.2">
      <c r="A60" s="126" t="s">
        <v>133</v>
      </c>
      <c r="B60" s="124">
        <v>800</v>
      </c>
      <c r="C60" s="124">
        <v>19</v>
      </c>
      <c r="D60" s="124">
        <v>-7</v>
      </c>
      <c r="E60" s="124">
        <f t="shared" si="14"/>
        <v>15200</v>
      </c>
      <c r="F60" s="124">
        <f t="shared" si="15"/>
        <v>-700</v>
      </c>
      <c r="G60" s="124">
        <f t="shared" si="16"/>
        <v>14500</v>
      </c>
    </row>
    <row r="61" spans="1:10" x14ac:dyDescent="0.2">
      <c r="A61" s="126" t="s">
        <v>134</v>
      </c>
      <c r="B61" s="124">
        <v>800</v>
      </c>
      <c r="C61" s="124">
        <v>19</v>
      </c>
      <c r="D61" s="124">
        <v>-7</v>
      </c>
      <c r="E61" s="124">
        <f t="shared" si="14"/>
        <v>15200</v>
      </c>
      <c r="F61" s="124">
        <f t="shared" si="15"/>
        <v>-700</v>
      </c>
      <c r="G61" s="124">
        <f t="shared" si="16"/>
        <v>14500</v>
      </c>
    </row>
    <row r="62" spans="1:10" ht="18.75" x14ac:dyDescent="0.3">
      <c r="A62" s="544" t="s">
        <v>129</v>
      </c>
      <c r="B62" s="544"/>
      <c r="C62" s="544"/>
      <c r="D62" s="544"/>
      <c r="E62" s="544"/>
      <c r="F62" s="544"/>
      <c r="G62" s="136">
        <f>SUM(G57:G61)</f>
        <v>54129.838709677424</v>
      </c>
    </row>
    <row r="63" spans="1:10" ht="18.75" x14ac:dyDescent="0.3">
      <c r="A63" s="544" t="s">
        <v>135</v>
      </c>
      <c r="B63" s="544"/>
      <c r="C63" s="544"/>
      <c r="D63" s="544"/>
      <c r="E63" s="544"/>
      <c r="F63" s="544"/>
      <c r="G63" s="136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44" t="s">
        <v>129</v>
      </c>
      <c r="B64" s="544"/>
      <c r="C64" s="544"/>
      <c r="D64" s="544"/>
      <c r="E64" s="544"/>
      <c r="F64" s="544"/>
      <c r="G64" s="136">
        <f>G62+G63</f>
        <v>55932.338709677424</v>
      </c>
      <c r="H64" s="14"/>
    </row>
    <row r="65" spans="1:10" ht="26.25" x14ac:dyDescent="0.4">
      <c r="A65" s="542" t="s">
        <v>54</v>
      </c>
      <c r="B65" s="542"/>
      <c r="C65" s="542"/>
      <c r="D65" s="542"/>
      <c r="E65" s="542"/>
      <c r="F65" s="542"/>
      <c r="G65" s="542"/>
    </row>
    <row r="66" spans="1:10" ht="21" x14ac:dyDescent="0.35">
      <c r="A66" s="543" t="s">
        <v>124</v>
      </c>
      <c r="B66" s="543"/>
      <c r="C66" s="543"/>
      <c r="D66" s="543"/>
      <c r="E66" s="543"/>
      <c r="F66" s="543"/>
      <c r="G66" s="543"/>
    </row>
    <row r="67" spans="1:10" ht="15" x14ac:dyDescent="0.25">
      <c r="A67" s="135" t="s">
        <v>0</v>
      </c>
      <c r="B67" s="135" t="s">
        <v>1</v>
      </c>
      <c r="C67" s="135" t="s">
        <v>125</v>
      </c>
      <c r="D67" s="135" t="s">
        <v>126</v>
      </c>
      <c r="E67" s="135" t="s">
        <v>127</v>
      </c>
      <c r="F67" s="135" t="s">
        <v>128</v>
      </c>
      <c r="G67" s="135" t="s">
        <v>129</v>
      </c>
    </row>
    <row r="68" spans="1:10" x14ac:dyDescent="0.2">
      <c r="A68" s="126" t="s">
        <v>130</v>
      </c>
      <c r="B68" s="124">
        <v>30000</v>
      </c>
      <c r="C68" s="124">
        <v>30</v>
      </c>
      <c r="D68" s="124">
        <v>-22</v>
      </c>
      <c r="E68" s="124">
        <f>B68/31*C68</f>
        <v>29032.258064516129</v>
      </c>
      <c r="F68" s="124">
        <f>B68/31/8*D68</f>
        <v>-2661.2903225806454</v>
      </c>
      <c r="G68" s="124">
        <f>E68+F68</f>
        <v>26370.967741935485</v>
      </c>
    </row>
    <row r="69" spans="1:10" x14ac:dyDescent="0.2">
      <c r="A69" s="126" t="s">
        <v>131</v>
      </c>
      <c r="B69" s="124">
        <v>800</v>
      </c>
      <c r="C69" s="124">
        <v>28</v>
      </c>
      <c r="D69" s="124">
        <v>-42</v>
      </c>
      <c r="E69" s="124">
        <f>B69*C69</f>
        <v>22400</v>
      </c>
      <c r="F69" s="124">
        <f>B69/8*D69</f>
        <v>-4200</v>
      </c>
      <c r="G69" s="124">
        <f>E69+F69</f>
        <v>18200</v>
      </c>
      <c r="H69">
        <v>2</v>
      </c>
    </row>
    <row r="70" spans="1:10" x14ac:dyDescent="0.2">
      <c r="A70" s="126" t="s">
        <v>132</v>
      </c>
      <c r="B70" s="124">
        <v>800</v>
      </c>
      <c r="C70" s="124">
        <v>24</v>
      </c>
      <c r="D70" s="124">
        <v>-38.5</v>
      </c>
      <c r="E70" s="124">
        <f t="shared" ref="E70:E72" si="17">B70*C70</f>
        <v>19200</v>
      </c>
      <c r="F70" s="124">
        <f t="shared" ref="F70:F72" si="18">B70/8*D70</f>
        <v>-3850</v>
      </c>
      <c r="G70" s="124">
        <f t="shared" ref="G70:G72" si="19">E70+F70</f>
        <v>15350</v>
      </c>
      <c r="H70">
        <v>2</v>
      </c>
    </row>
    <row r="71" spans="1:10" x14ac:dyDescent="0.2">
      <c r="A71" s="126" t="s">
        <v>133</v>
      </c>
      <c r="B71" s="124">
        <v>800</v>
      </c>
      <c r="C71" s="124">
        <v>20</v>
      </c>
      <c r="D71" s="124">
        <v>-18</v>
      </c>
      <c r="E71" s="124">
        <f t="shared" si="17"/>
        <v>16000</v>
      </c>
      <c r="F71" s="124">
        <f t="shared" si="18"/>
        <v>-1800</v>
      </c>
      <c r="G71" s="124">
        <f t="shared" si="19"/>
        <v>14200</v>
      </c>
    </row>
    <row r="72" spans="1:10" x14ac:dyDescent="0.2">
      <c r="A72" s="126" t="s">
        <v>134</v>
      </c>
      <c r="B72" s="124">
        <v>800</v>
      </c>
      <c r="C72" s="124">
        <v>22</v>
      </c>
      <c r="D72" s="124">
        <v>-19</v>
      </c>
      <c r="E72" s="124">
        <f t="shared" si="17"/>
        <v>17600</v>
      </c>
      <c r="F72" s="124">
        <f t="shared" si="18"/>
        <v>-1900</v>
      </c>
      <c r="G72" s="124">
        <f t="shared" si="19"/>
        <v>15700</v>
      </c>
    </row>
    <row r="73" spans="1:10" ht="18.75" x14ac:dyDescent="0.3">
      <c r="A73" s="544" t="s">
        <v>129</v>
      </c>
      <c r="B73" s="544"/>
      <c r="C73" s="544"/>
      <c r="D73" s="544"/>
      <c r="E73" s="544"/>
      <c r="F73" s="544"/>
      <c r="G73" s="136">
        <f>SUM(G68:G72)</f>
        <v>89820.967741935485</v>
      </c>
    </row>
    <row r="74" spans="1:10" ht="18.75" x14ac:dyDescent="0.3">
      <c r="A74" s="544" t="s">
        <v>135</v>
      </c>
      <c r="B74" s="544"/>
      <c r="C74" s="544"/>
      <c r="D74" s="544"/>
      <c r="E74" s="544"/>
      <c r="F74" s="544"/>
      <c r="G74" s="136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44" t="s">
        <v>129</v>
      </c>
      <c r="B75" s="544"/>
      <c r="C75" s="544"/>
      <c r="D75" s="544"/>
      <c r="E75" s="544"/>
      <c r="F75" s="544"/>
      <c r="G75" s="136">
        <f>G73+G74</f>
        <v>97026.467741935485</v>
      </c>
      <c r="H75" s="14" t="s">
        <v>138</v>
      </c>
    </row>
    <row r="76" spans="1:10" ht="18.75" x14ac:dyDescent="0.3">
      <c r="A76" s="137"/>
      <c r="B76" s="137"/>
      <c r="C76" s="137"/>
      <c r="D76" s="137"/>
      <c r="E76" s="137"/>
      <c r="F76" s="137"/>
      <c r="G76" s="136"/>
    </row>
    <row r="77" spans="1:10" ht="18.75" x14ac:dyDescent="0.3">
      <c r="A77" s="137"/>
      <c r="B77" s="137"/>
      <c r="C77" s="137"/>
      <c r="D77" s="137"/>
      <c r="E77" s="137"/>
      <c r="F77" s="137"/>
      <c r="G77" s="136"/>
    </row>
    <row r="78" spans="1:10" ht="18.75" x14ac:dyDescent="0.3">
      <c r="A78" s="137"/>
      <c r="B78" s="137"/>
      <c r="C78" s="137"/>
      <c r="D78" s="137"/>
      <c r="E78" s="137"/>
      <c r="F78" s="137"/>
      <c r="G78" s="136"/>
    </row>
    <row r="79" spans="1:10" ht="21" x14ac:dyDescent="0.35">
      <c r="A79" s="543" t="s">
        <v>124</v>
      </c>
      <c r="B79" s="543"/>
      <c r="C79" s="543"/>
      <c r="D79" s="543"/>
      <c r="E79" s="543"/>
      <c r="F79" s="543"/>
      <c r="G79" s="543"/>
    </row>
    <row r="80" spans="1:10" ht="15" x14ac:dyDescent="0.25">
      <c r="A80" s="135" t="s">
        <v>0</v>
      </c>
      <c r="B80" s="135" t="s">
        <v>1</v>
      </c>
      <c r="C80" s="135" t="s">
        <v>125</v>
      </c>
      <c r="D80" s="135" t="s">
        <v>126</v>
      </c>
      <c r="E80" s="135" t="s">
        <v>127</v>
      </c>
      <c r="F80" s="135" t="s">
        <v>128</v>
      </c>
      <c r="G80" s="135" t="s">
        <v>129</v>
      </c>
    </row>
    <row r="81" spans="1:11" x14ac:dyDescent="0.2">
      <c r="A81" s="126" t="s">
        <v>130</v>
      </c>
      <c r="B81" s="124"/>
      <c r="C81" s="124">
        <v>10</v>
      </c>
      <c r="D81" s="124">
        <v>-7.5</v>
      </c>
      <c r="E81" s="124">
        <f>B81/30*C81</f>
        <v>0</v>
      </c>
      <c r="F81" s="124"/>
      <c r="G81" s="124">
        <f>E81+F81</f>
        <v>0</v>
      </c>
    </row>
    <row r="82" spans="1:11" x14ac:dyDescent="0.2">
      <c r="A82" s="126" t="s">
        <v>131</v>
      </c>
      <c r="B82" s="124">
        <v>800</v>
      </c>
      <c r="C82" s="124">
        <v>16</v>
      </c>
      <c r="D82" s="124">
        <v>-23</v>
      </c>
      <c r="E82" s="124">
        <f>B82*C82</f>
        <v>12800</v>
      </c>
      <c r="F82" s="124">
        <f>B82/8*D82</f>
        <v>-2300</v>
      </c>
      <c r="G82" s="124">
        <f>E82+F82</f>
        <v>10500</v>
      </c>
    </row>
    <row r="83" spans="1:11" x14ac:dyDescent="0.2">
      <c r="A83" s="126" t="s">
        <v>132</v>
      </c>
      <c r="B83" s="124">
        <v>800</v>
      </c>
      <c r="C83" s="124">
        <v>14</v>
      </c>
      <c r="D83" s="124">
        <v>-21</v>
      </c>
      <c r="E83" s="124">
        <f>B83*C83</f>
        <v>11200</v>
      </c>
      <c r="F83" s="124">
        <f>B83/8*D83</f>
        <v>-2100</v>
      </c>
      <c r="G83" s="124">
        <f>E83+F83</f>
        <v>9100</v>
      </c>
    </row>
    <row r="84" spans="1:11" x14ac:dyDescent="0.2">
      <c r="A84" s="126" t="s">
        <v>133</v>
      </c>
      <c r="B84" s="124">
        <v>800</v>
      </c>
      <c r="C84" s="124">
        <v>10</v>
      </c>
      <c r="D84" s="124">
        <v>-7.5</v>
      </c>
      <c r="E84" s="124">
        <f>B84*C84</f>
        <v>8000</v>
      </c>
      <c r="F84" s="124">
        <f>B84/8*D84</f>
        <v>-750</v>
      </c>
      <c r="G84" s="124">
        <f>E84+F84</f>
        <v>7250</v>
      </c>
    </row>
    <row r="85" spans="1:11" x14ac:dyDescent="0.2">
      <c r="A85" s="126" t="s">
        <v>136</v>
      </c>
      <c r="B85" s="124">
        <v>650</v>
      </c>
      <c r="C85" s="124">
        <v>1</v>
      </c>
      <c r="D85" s="124"/>
      <c r="E85" s="124">
        <f>B85*C85</f>
        <v>650</v>
      </c>
      <c r="F85" s="124">
        <f>B85/8*D85</f>
        <v>0</v>
      </c>
      <c r="G85" s="124">
        <f>E85+F85</f>
        <v>650</v>
      </c>
    </row>
    <row r="86" spans="1:11" ht="18.75" x14ac:dyDescent="0.3">
      <c r="A86" s="544" t="s">
        <v>129</v>
      </c>
      <c r="B86" s="544"/>
      <c r="C86" s="544"/>
      <c r="D86" s="544"/>
      <c r="E86" s="544"/>
      <c r="F86" s="544"/>
      <c r="G86" s="136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139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45" t="s">
        <v>137</v>
      </c>
      <c r="B90" s="546"/>
      <c r="C90" s="546"/>
      <c r="D90" s="546"/>
      <c r="E90" s="546"/>
      <c r="F90" s="546"/>
      <c r="G90" s="546"/>
    </row>
    <row r="91" spans="1:11" x14ac:dyDescent="0.2">
      <c r="A91" s="126" t="s">
        <v>130</v>
      </c>
      <c r="B91" s="124">
        <v>30000</v>
      </c>
      <c r="C91" s="124">
        <v>10</v>
      </c>
      <c r="D91" s="124">
        <v>-8</v>
      </c>
      <c r="E91" s="124">
        <f>B91/30*C91</f>
        <v>10000</v>
      </c>
      <c r="F91" s="124"/>
      <c r="G91" s="124">
        <f>E91+F91</f>
        <v>10000</v>
      </c>
    </row>
    <row r="93" spans="1:11" ht="26.25" x14ac:dyDescent="0.4">
      <c r="A93" s="545" t="s">
        <v>53</v>
      </c>
      <c r="B93" s="546"/>
      <c r="C93" s="546"/>
      <c r="D93" s="546"/>
      <c r="E93" s="546"/>
      <c r="F93" s="546"/>
      <c r="G93" s="546"/>
    </row>
    <row r="94" spans="1:11" x14ac:dyDescent="0.2">
      <c r="A94" s="126" t="s">
        <v>130</v>
      </c>
      <c r="B94" s="124">
        <v>30000</v>
      </c>
      <c r="C94" s="124">
        <v>22</v>
      </c>
      <c r="D94" s="124"/>
      <c r="E94" s="124">
        <f>B94/30*C94</f>
        <v>22000</v>
      </c>
      <c r="F94" s="124"/>
      <c r="G94" s="124">
        <f>E94+F94</f>
        <v>22000</v>
      </c>
    </row>
    <row r="97" spans="1:7" ht="26.25" x14ac:dyDescent="0.4">
      <c r="A97" s="545" t="s">
        <v>52</v>
      </c>
      <c r="B97" s="546"/>
      <c r="C97" s="546"/>
      <c r="D97" s="546"/>
      <c r="E97" s="546"/>
      <c r="F97" s="546"/>
      <c r="G97" s="546"/>
    </row>
    <row r="98" spans="1:7" x14ac:dyDescent="0.2">
      <c r="A98" s="126" t="s">
        <v>130</v>
      </c>
      <c r="B98" s="124">
        <v>30000</v>
      </c>
      <c r="C98" s="124">
        <v>26</v>
      </c>
      <c r="D98" s="124"/>
      <c r="E98" s="124">
        <f>B98/30*C98</f>
        <v>26000</v>
      </c>
      <c r="F98" s="124"/>
      <c r="G98" s="124">
        <f>E98+F98</f>
        <v>26000</v>
      </c>
    </row>
    <row r="103" spans="1:7" x14ac:dyDescent="0.2">
      <c r="G103" s="8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47" t="s">
        <v>205</v>
      </c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7"/>
    </row>
    <row r="2" spans="1:26" ht="48.75" customHeight="1" x14ac:dyDescent="0.2">
      <c r="A2" s="197" t="s">
        <v>112</v>
      </c>
      <c r="B2" s="198" t="s">
        <v>150</v>
      </c>
      <c r="C2" s="198" t="s">
        <v>148</v>
      </c>
      <c r="D2" s="198" t="s">
        <v>149</v>
      </c>
      <c r="E2" s="198" t="s">
        <v>151</v>
      </c>
      <c r="F2" s="198" t="s">
        <v>152</v>
      </c>
      <c r="G2" s="198" t="s">
        <v>154</v>
      </c>
      <c r="H2" s="199" t="s">
        <v>158</v>
      </c>
      <c r="I2" s="199" t="s">
        <v>187</v>
      </c>
      <c r="J2" s="199" t="s">
        <v>200</v>
      </c>
      <c r="K2" s="199" t="s">
        <v>202</v>
      </c>
      <c r="L2" s="199" t="s">
        <v>203</v>
      </c>
      <c r="M2" s="199" t="s">
        <v>204</v>
      </c>
      <c r="N2" s="199" t="s">
        <v>212</v>
      </c>
      <c r="O2" s="199" t="s">
        <v>215</v>
      </c>
      <c r="P2" s="199" t="s">
        <v>221</v>
      </c>
      <c r="Q2" s="199" t="s">
        <v>222</v>
      </c>
      <c r="R2" s="203" t="s">
        <v>206</v>
      </c>
      <c r="S2" s="2"/>
      <c r="T2" s="14"/>
      <c r="U2" s="2"/>
      <c r="V2" s="2"/>
      <c r="W2" s="121"/>
      <c r="X2" s="2"/>
      <c r="Y2" s="2"/>
    </row>
    <row r="3" spans="1:26" ht="20.25" customHeight="1" x14ac:dyDescent="0.25">
      <c r="A3" s="201" t="s">
        <v>113</v>
      </c>
      <c r="B3" s="191">
        <v>100000</v>
      </c>
      <c r="C3" s="192">
        <v>100000</v>
      </c>
      <c r="D3" s="192">
        <v>100000</v>
      </c>
      <c r="E3" s="192">
        <v>100000</v>
      </c>
      <c r="F3" s="192">
        <v>100000</v>
      </c>
      <c r="G3" s="192">
        <v>100000</v>
      </c>
      <c r="H3" s="204">
        <v>100000</v>
      </c>
      <c r="I3" s="204">
        <v>100000</v>
      </c>
      <c r="J3" s="204">
        <v>100000</v>
      </c>
      <c r="K3" s="204">
        <v>0</v>
      </c>
      <c r="L3" s="204">
        <v>100000</v>
      </c>
      <c r="M3" s="204">
        <v>100000</v>
      </c>
      <c r="N3" s="204">
        <v>100000</v>
      </c>
      <c r="O3" s="204">
        <v>100000</v>
      </c>
      <c r="P3" s="204">
        <v>100000</v>
      </c>
      <c r="Q3" s="204">
        <v>100000</v>
      </c>
      <c r="R3" s="204">
        <f>Q3-P3</f>
        <v>0</v>
      </c>
      <c r="S3" s="2"/>
      <c r="T3" s="14"/>
      <c r="U3" s="2"/>
      <c r="V3" s="2"/>
      <c r="W3" s="121"/>
      <c r="X3" s="2"/>
      <c r="Y3" s="2"/>
      <c r="Z3" s="8"/>
    </row>
    <row r="4" spans="1:26" ht="20.25" customHeight="1" x14ac:dyDescent="0.25">
      <c r="A4" s="202" t="s">
        <v>38</v>
      </c>
      <c r="B4" s="193">
        <v>60000</v>
      </c>
      <c r="C4" s="194">
        <v>60000</v>
      </c>
      <c r="D4" s="194">
        <v>60000</v>
      </c>
      <c r="E4" s="194">
        <v>60000</v>
      </c>
      <c r="F4" s="194">
        <v>60000</v>
      </c>
      <c r="G4" s="194">
        <v>60000</v>
      </c>
      <c r="H4" s="205">
        <v>60000</v>
      </c>
      <c r="I4" s="205">
        <v>60000</v>
      </c>
      <c r="J4" s="205">
        <v>60000</v>
      </c>
      <c r="K4" s="205">
        <v>60000</v>
      </c>
      <c r="L4" s="204">
        <v>60000</v>
      </c>
      <c r="M4" s="204">
        <v>60000</v>
      </c>
      <c r="N4" s="204">
        <v>60000</v>
      </c>
      <c r="O4" s="204">
        <v>62000</v>
      </c>
      <c r="P4" s="204">
        <v>62000</v>
      </c>
      <c r="Q4" s="204">
        <v>62000</v>
      </c>
      <c r="R4" s="204">
        <f t="shared" ref="R4:R15" si="0">Q4-P4</f>
        <v>0</v>
      </c>
      <c r="S4" s="2"/>
      <c r="T4" s="121"/>
      <c r="U4" s="2"/>
      <c r="V4" s="2"/>
      <c r="W4" s="121"/>
      <c r="X4" s="2"/>
      <c r="Y4" s="2"/>
    </row>
    <row r="5" spans="1:26" ht="20.25" customHeight="1" x14ac:dyDescent="0.25">
      <c r="A5" s="200" t="s">
        <v>36</v>
      </c>
      <c r="B5" s="195">
        <v>73206</v>
      </c>
      <c r="C5" s="194">
        <v>87000</v>
      </c>
      <c r="D5" s="194">
        <v>65000</v>
      </c>
      <c r="E5" s="194">
        <v>67000</v>
      </c>
      <c r="F5" s="194">
        <v>65000</v>
      </c>
      <c r="G5" s="194">
        <v>66000</v>
      </c>
      <c r="H5" s="205">
        <v>88000</v>
      </c>
      <c r="I5" s="205">
        <v>103489.58333333333</v>
      </c>
      <c r="J5" s="205">
        <v>87822.580645161288</v>
      </c>
      <c r="K5" s="205">
        <v>84933.333333333328</v>
      </c>
      <c r="L5" s="204">
        <v>66000</v>
      </c>
      <c r="M5" s="204">
        <v>103483.87096774194</v>
      </c>
      <c r="N5" s="204">
        <v>118000</v>
      </c>
      <c r="O5" s="204">
        <v>117387.09677419355</v>
      </c>
      <c r="P5" s="204">
        <v>119000</v>
      </c>
      <c r="Q5" s="204">
        <v>94000</v>
      </c>
      <c r="R5" s="204">
        <f t="shared" si="0"/>
        <v>-25000</v>
      </c>
      <c r="S5" s="2"/>
      <c r="T5" s="121"/>
      <c r="U5" s="2"/>
      <c r="V5" s="2"/>
      <c r="W5" s="121"/>
      <c r="X5" s="2"/>
      <c r="Y5" s="2"/>
    </row>
    <row r="6" spans="1:26" ht="20.25" customHeight="1" x14ac:dyDescent="0.25">
      <c r="A6" s="200" t="s">
        <v>114</v>
      </c>
      <c r="B6" s="195">
        <v>147448.27586206896</v>
      </c>
      <c r="C6" s="194">
        <v>116709.67741935482</v>
      </c>
      <c r="D6" s="194">
        <v>32250</v>
      </c>
      <c r="E6" s="194">
        <v>32250</v>
      </c>
      <c r="F6" s="194">
        <v>32250</v>
      </c>
      <c r="G6" s="194">
        <v>32250</v>
      </c>
      <c r="H6" s="205">
        <v>32250</v>
      </c>
      <c r="I6" s="205">
        <v>29300</v>
      </c>
      <c r="J6" s="205">
        <v>31750</v>
      </c>
      <c r="K6" s="205">
        <v>40875</v>
      </c>
      <c r="L6" s="204">
        <v>31500</v>
      </c>
      <c r="M6" s="204">
        <v>31500</v>
      </c>
      <c r="N6" s="204">
        <v>31500</v>
      </c>
      <c r="O6" s="204">
        <v>31500</v>
      </c>
      <c r="P6" s="204">
        <f>'Salary Sheets'!Q25</f>
        <v>95745.967741935485</v>
      </c>
      <c r="Q6" s="204">
        <v>37258.06451612903</v>
      </c>
      <c r="R6" s="204">
        <f t="shared" si="0"/>
        <v>-58487.903225806454</v>
      </c>
      <c r="S6" s="121"/>
      <c r="T6" s="14"/>
      <c r="U6" s="2"/>
      <c r="V6" s="2"/>
      <c r="W6" s="121"/>
      <c r="X6" s="2"/>
      <c r="Y6" s="2"/>
    </row>
    <row r="7" spans="1:26" ht="20.25" customHeight="1" x14ac:dyDescent="0.25">
      <c r="A7" s="200" t="s">
        <v>115</v>
      </c>
      <c r="B7" s="195">
        <v>132799.31034482759</v>
      </c>
      <c r="C7" s="194">
        <v>63387.096774193546</v>
      </c>
      <c r="D7" s="194">
        <v>41481.25</v>
      </c>
      <c r="E7" s="194">
        <v>53254.032258064515</v>
      </c>
      <c r="F7" s="194">
        <v>42143.75</v>
      </c>
      <c r="G7" s="194">
        <v>30919.354838709678</v>
      </c>
      <c r="H7" s="205">
        <v>35761.088709677424</v>
      </c>
      <c r="I7" s="205">
        <v>99415.625</v>
      </c>
      <c r="J7" s="205">
        <v>97959.677419354834</v>
      </c>
      <c r="K7" s="205">
        <v>54868.75</v>
      </c>
      <c r="L7" s="204">
        <v>52703.629032258061</v>
      </c>
      <c r="M7" s="204">
        <v>53987.145161290318</v>
      </c>
      <c r="N7" s="204">
        <v>92420.758928571435</v>
      </c>
      <c r="O7" s="204">
        <v>81163.548387096773</v>
      </c>
      <c r="P7" s="204">
        <v>72583.333333333328</v>
      </c>
      <c r="Q7" s="204">
        <v>75645.161290322576</v>
      </c>
      <c r="R7" s="204">
        <f t="shared" si="0"/>
        <v>3061.8279569892475</v>
      </c>
      <c r="S7" s="121"/>
      <c r="T7" s="14"/>
      <c r="U7" s="130"/>
      <c r="V7" s="130"/>
      <c r="W7" s="130"/>
      <c r="X7" s="130"/>
      <c r="Y7" s="2"/>
    </row>
    <row r="8" spans="1:26" ht="20.25" customHeight="1" x14ac:dyDescent="0.25">
      <c r="A8" s="200" t="s">
        <v>37</v>
      </c>
      <c r="B8" s="195">
        <v>372668.96551724145</v>
      </c>
      <c r="C8" s="194">
        <v>306071.05846774194</v>
      </c>
      <c r="D8" s="194">
        <v>205928.33333333331</v>
      </c>
      <c r="E8" s="194">
        <v>255428.46774193548</v>
      </c>
      <c r="F8" s="194">
        <v>285739.58333333343</v>
      </c>
      <c r="G8" s="194">
        <v>169628.98387096776</v>
      </c>
      <c r="H8" s="205">
        <v>214618.54838709679</v>
      </c>
      <c r="I8" s="205">
        <v>263865.91666666669</v>
      </c>
      <c r="J8" s="205">
        <v>288039.31451612909</v>
      </c>
      <c r="K8" s="205">
        <v>261683.95833333337</v>
      </c>
      <c r="L8" s="204">
        <v>193254.97580645161</v>
      </c>
      <c r="M8" s="204">
        <v>212582.85483870967</v>
      </c>
      <c r="N8" s="204">
        <v>232213.1696428571</v>
      </c>
      <c r="O8" s="204">
        <v>241484.47580645161</v>
      </c>
      <c r="P8" s="204">
        <f>'Salary Sheets'!Q45</f>
        <v>286356.45161290327</v>
      </c>
      <c r="Q8" s="204">
        <v>201483.87096774194</v>
      </c>
      <c r="R8" s="204">
        <f t="shared" si="0"/>
        <v>-84872.580645161332</v>
      </c>
      <c r="S8" s="121"/>
      <c r="T8" s="14"/>
      <c r="U8" s="2"/>
      <c r="V8" s="2"/>
      <c r="W8" s="121"/>
      <c r="X8" s="2"/>
      <c r="Y8" s="2"/>
    </row>
    <row r="9" spans="1:26" ht="20.25" customHeight="1" x14ac:dyDescent="0.25">
      <c r="A9" s="200" t="s">
        <v>116</v>
      </c>
      <c r="B9" s="195">
        <v>120506.03448275861</v>
      </c>
      <c r="C9" s="194">
        <v>131841.12903225809</v>
      </c>
      <c r="D9" s="194">
        <v>104362.49999999999</v>
      </c>
      <c r="E9" s="194">
        <v>104752.41935483871</v>
      </c>
      <c r="F9" s="194">
        <v>113883.33333333334</v>
      </c>
      <c r="G9" s="194">
        <v>105737.90322580645</v>
      </c>
      <c r="H9" s="205">
        <v>103883.06451612903</v>
      </c>
      <c r="I9" s="205">
        <v>109841.66666666667</v>
      </c>
      <c r="J9" s="205">
        <v>117032.25806451612</v>
      </c>
      <c r="K9" s="205">
        <v>105759.16666666667</v>
      </c>
      <c r="L9" s="204">
        <v>119633.06451612904</v>
      </c>
      <c r="M9" s="204">
        <v>122745.96774193548</v>
      </c>
      <c r="N9" s="204">
        <v>113383.92857142855</v>
      </c>
      <c r="O9" s="204">
        <v>100282.25806451612</v>
      </c>
      <c r="P9" s="204">
        <v>116254.16666666666</v>
      </c>
      <c r="Q9" s="204">
        <v>121334.67741935483</v>
      </c>
      <c r="R9" s="204">
        <f t="shared" si="0"/>
        <v>5080.5107526881766</v>
      </c>
      <c r="S9" s="121"/>
      <c r="T9" s="14"/>
      <c r="U9" s="2"/>
      <c r="V9" s="2"/>
      <c r="W9" s="121"/>
      <c r="X9" s="2"/>
      <c r="Y9" s="2"/>
      <c r="Z9" s="14"/>
    </row>
    <row r="10" spans="1:26" ht="20.25" customHeight="1" x14ac:dyDescent="0.25">
      <c r="A10" s="200" t="s">
        <v>117</v>
      </c>
      <c r="B10" s="195">
        <v>93330.732758620696</v>
      </c>
      <c r="C10" s="194">
        <v>87991.93548387097</v>
      </c>
      <c r="D10" s="194">
        <v>61687.5</v>
      </c>
      <c r="E10" s="194">
        <v>72469.354838709682</v>
      </c>
      <c r="F10" s="194">
        <v>92054.166666666672</v>
      </c>
      <c r="G10" s="194">
        <v>92983.870967741939</v>
      </c>
      <c r="H10" s="205">
        <v>95745.967741935485</v>
      </c>
      <c r="I10" s="205">
        <v>91266.666666666657</v>
      </c>
      <c r="J10" s="205">
        <v>82338.709677419363</v>
      </c>
      <c r="K10" s="205">
        <v>87658.333333333328</v>
      </c>
      <c r="L10" s="204">
        <v>98245.967741935485</v>
      </c>
      <c r="M10" s="204">
        <v>104427.41935483871</v>
      </c>
      <c r="N10" s="204">
        <v>89080.357142857145</v>
      </c>
      <c r="O10" s="204">
        <v>87447.580645161288</v>
      </c>
      <c r="P10" s="204">
        <v>92458.333333333343</v>
      </c>
      <c r="Q10" s="204">
        <v>89770.161290322576</v>
      </c>
      <c r="R10" s="204">
        <f t="shared" si="0"/>
        <v>-2688.1720430107671</v>
      </c>
      <c r="S10" s="121"/>
      <c r="T10" s="14"/>
      <c r="U10" s="8"/>
      <c r="V10" s="8"/>
      <c r="W10" s="159"/>
      <c r="X10" s="8"/>
      <c r="Y10" s="2"/>
      <c r="Z10" s="14"/>
    </row>
    <row r="11" spans="1:26" ht="20.25" customHeight="1" x14ac:dyDescent="0.25">
      <c r="A11" s="200" t="s">
        <v>118</v>
      </c>
      <c r="B11" s="195">
        <v>47469.310344827587</v>
      </c>
      <c r="C11" s="194">
        <v>29145.16129032258</v>
      </c>
      <c r="D11" s="194">
        <v>27083.333333333332</v>
      </c>
      <c r="E11" s="194">
        <v>28830.645161290322</v>
      </c>
      <c r="F11" s="194">
        <v>27083.333333333332</v>
      </c>
      <c r="G11" s="194">
        <v>29145.16129032258</v>
      </c>
      <c r="H11" s="205">
        <v>45596.774193548386</v>
      </c>
      <c r="I11" s="205">
        <v>45641.666666666672</v>
      </c>
      <c r="J11" s="205">
        <v>48903.225806451621</v>
      </c>
      <c r="K11" s="205">
        <v>39968.75</v>
      </c>
      <c r="L11" s="204">
        <v>48483.870967741939</v>
      </c>
      <c r="M11" s="204">
        <v>52201.612903225803</v>
      </c>
      <c r="N11" s="204">
        <v>67227.678571428565</v>
      </c>
      <c r="O11" s="204">
        <v>107939.51612903226</v>
      </c>
      <c r="P11" s="204">
        <v>81066.666666666672</v>
      </c>
      <c r="Q11" s="204">
        <v>84967.741935483878</v>
      </c>
      <c r="R11" s="204">
        <f t="shared" si="0"/>
        <v>3901.075268817207</v>
      </c>
      <c r="S11" s="121"/>
      <c r="T11" s="14"/>
      <c r="U11" s="2"/>
      <c r="V11" s="2"/>
      <c r="W11" s="121"/>
      <c r="X11" s="2"/>
      <c r="Y11" s="8"/>
    </row>
    <row r="12" spans="1:26" ht="36" customHeight="1" x14ac:dyDescent="0.25">
      <c r="A12" s="328" t="s">
        <v>220</v>
      </c>
      <c r="B12" s="195"/>
      <c r="C12" s="194"/>
      <c r="D12" s="194"/>
      <c r="E12" s="194"/>
      <c r="F12" s="194"/>
      <c r="G12" s="194"/>
      <c r="H12" s="205"/>
      <c r="I12" s="205"/>
      <c r="J12" s="205"/>
      <c r="K12" s="205"/>
      <c r="L12" s="204"/>
      <c r="M12" s="204"/>
      <c r="N12" s="204"/>
      <c r="O12" s="204"/>
      <c r="P12" s="204">
        <f>'Salary Sheets'!Q70</f>
        <v>203907.25806451612</v>
      </c>
      <c r="Q12" s="204">
        <v>254832.25806451612</v>
      </c>
      <c r="R12" s="204">
        <f t="shared" si="0"/>
        <v>50925</v>
      </c>
      <c r="S12" s="121"/>
      <c r="T12" s="14"/>
      <c r="U12" s="2"/>
      <c r="V12" s="2"/>
      <c r="W12" s="121"/>
      <c r="X12" s="2"/>
      <c r="Y12" s="8"/>
    </row>
    <row r="13" spans="1:26" ht="20.25" customHeight="1" x14ac:dyDescent="0.25">
      <c r="A13" s="200" t="s">
        <v>223</v>
      </c>
      <c r="B13" s="195"/>
      <c r="C13" s="194"/>
      <c r="D13" s="194"/>
      <c r="E13" s="194"/>
      <c r="F13" s="194"/>
      <c r="G13" s="194"/>
      <c r="H13" s="205"/>
      <c r="I13" s="205"/>
      <c r="J13" s="205"/>
      <c r="K13" s="205"/>
      <c r="L13" s="204"/>
      <c r="M13" s="204"/>
      <c r="N13" s="204"/>
      <c r="O13" s="204"/>
      <c r="P13" s="204" t="e">
        <f>'Salary Sheets'!#REF!</f>
        <v>#REF!</v>
      </c>
      <c r="Q13" s="204" t="e">
        <f>'Salary Sheets'!#REF!</f>
        <v>#REF!</v>
      </c>
      <c r="R13" s="204" t="e">
        <f t="shared" si="0"/>
        <v>#REF!</v>
      </c>
      <c r="S13" s="121"/>
      <c r="T13" s="14"/>
      <c r="U13" s="2"/>
      <c r="V13" s="2"/>
      <c r="W13" s="121"/>
      <c r="X13" s="2"/>
      <c r="Y13" s="8"/>
    </row>
    <row r="14" spans="1:26" ht="20.25" customHeight="1" x14ac:dyDescent="0.25">
      <c r="A14" s="200" t="s">
        <v>219</v>
      </c>
      <c r="B14" s="195">
        <v>160366.37931034484</v>
      </c>
      <c r="C14" s="195">
        <v>169366.93548387097</v>
      </c>
      <c r="D14" s="195">
        <v>177360</v>
      </c>
      <c r="E14" s="195">
        <v>201414.11290322582</v>
      </c>
      <c r="F14" s="195">
        <v>185683.33333333334</v>
      </c>
      <c r="G14" s="195">
        <v>178671.93548387097</v>
      </c>
      <c r="H14" s="205">
        <v>186343.54838709679</v>
      </c>
      <c r="I14" s="205">
        <v>183710</v>
      </c>
      <c r="J14" s="205">
        <v>208798.38709677421</v>
      </c>
      <c r="K14" s="205">
        <v>172205.83333333334</v>
      </c>
      <c r="L14" s="204">
        <v>99483.870967741939</v>
      </c>
      <c r="M14" s="204">
        <v>104608.87096774192</v>
      </c>
      <c r="N14" s="204">
        <v>156408.92857142858</v>
      </c>
      <c r="O14" s="204">
        <v>106806.45161290321</v>
      </c>
      <c r="P14" s="204">
        <v>127450</v>
      </c>
      <c r="Q14" s="204">
        <v>0</v>
      </c>
      <c r="R14" s="204">
        <f t="shared" si="0"/>
        <v>-127450</v>
      </c>
      <c r="S14" s="2"/>
      <c r="T14" s="14"/>
      <c r="U14" s="2"/>
      <c r="V14" s="2"/>
      <c r="W14" s="121"/>
      <c r="X14" s="2"/>
      <c r="Y14" s="8"/>
      <c r="Z14" s="14"/>
    </row>
    <row r="15" spans="1:26" ht="31.5" x14ac:dyDescent="0.2">
      <c r="A15" s="206" t="s">
        <v>216</v>
      </c>
      <c r="B15" s="196">
        <v>214942.75862068965</v>
      </c>
      <c r="C15" s="195">
        <v>204628.70967741933</v>
      </c>
      <c r="D15" s="195">
        <v>91566.666666666672</v>
      </c>
      <c r="E15" s="195">
        <v>100387.09677419355</v>
      </c>
      <c r="F15" s="195">
        <v>41733.333333333336</v>
      </c>
      <c r="G15" s="195">
        <v>2580.6451612903224</v>
      </c>
      <c r="H15" s="205">
        <v>34870.967741935485</v>
      </c>
      <c r="I15" s="205">
        <v>61920.833333333336</v>
      </c>
      <c r="J15" s="205">
        <v>44959.677419354841</v>
      </c>
      <c r="K15" s="205">
        <v>38666.666666666672</v>
      </c>
      <c r="L15" s="204">
        <v>39516.129032258061</v>
      </c>
      <c r="M15" s="204">
        <v>43000</v>
      </c>
      <c r="N15" s="204">
        <v>50142.857142857145</v>
      </c>
      <c r="O15" s="204">
        <v>102443.54838709676</v>
      </c>
      <c r="P15" s="204">
        <f>'Salary Sheets'!Q74</f>
        <v>28000</v>
      </c>
      <c r="Q15" s="204">
        <f>'Salary Sheets'!Q74</f>
        <v>28000</v>
      </c>
      <c r="R15" s="204">
        <f t="shared" si="0"/>
        <v>0</v>
      </c>
      <c r="S15" s="2"/>
      <c r="U15" s="8"/>
      <c r="V15" s="8"/>
      <c r="W15" s="159"/>
      <c r="X15" s="8"/>
      <c r="Y15" s="8"/>
      <c r="Z15" s="14"/>
    </row>
    <row r="16" spans="1:26" ht="29.25" customHeight="1" x14ac:dyDescent="0.2">
      <c r="A16" s="256" t="s">
        <v>119</v>
      </c>
      <c r="B16" s="256">
        <f t="shared" ref="B16:R16" si="1">SUM(B3:B15)</f>
        <v>1522737.7672413792</v>
      </c>
      <c r="C16" s="256">
        <f t="shared" si="1"/>
        <v>1356141.7036290322</v>
      </c>
      <c r="D16" s="256">
        <f t="shared" si="1"/>
        <v>966719.58333333326</v>
      </c>
      <c r="E16" s="256">
        <f t="shared" si="1"/>
        <v>1075786.1290322579</v>
      </c>
      <c r="F16" s="256">
        <f>SUM(F3:F15)</f>
        <v>1045570.8333333336</v>
      </c>
      <c r="G16" s="256">
        <f>SUM(G3:G15)</f>
        <v>867917.8548387097</v>
      </c>
      <c r="H16" s="256">
        <f>SUM(H3:H15)</f>
        <v>997069.95967741939</v>
      </c>
      <c r="I16" s="256">
        <f>SUM(I3:I15)</f>
        <v>1148451.9583333333</v>
      </c>
      <c r="J16" s="256">
        <f>SUM(J3:J15)</f>
        <v>1167603.8306451614</v>
      </c>
      <c r="K16" s="256">
        <f t="shared" si="1"/>
        <v>946619.79166666674</v>
      </c>
      <c r="L16" s="256">
        <f t="shared" ref="L16:P16" si="2">SUM(L3:L15)</f>
        <v>908821.50806451624</v>
      </c>
      <c r="M16" s="256">
        <f t="shared" si="2"/>
        <v>988537.74193548388</v>
      </c>
      <c r="N16" s="256">
        <f t="shared" si="2"/>
        <v>1110377.6785714284</v>
      </c>
      <c r="O16" s="256">
        <f t="shared" si="2"/>
        <v>1138454.4758064516</v>
      </c>
      <c r="P16" s="256" t="e">
        <f t="shared" si="2"/>
        <v>#REF!</v>
      </c>
      <c r="Q16" s="256" t="e">
        <f>SUM(Q3:Q15)</f>
        <v>#REF!</v>
      </c>
      <c r="R16" s="256" t="e">
        <f t="shared" si="1"/>
        <v>#REF!</v>
      </c>
      <c r="S16" s="8"/>
      <c r="W16" s="15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Engineering</cp:lastModifiedBy>
  <cp:lastPrinted>2022-11-05T06:16:10Z</cp:lastPrinted>
  <dcterms:created xsi:type="dcterms:W3CDTF">2007-01-04T05:01:09Z</dcterms:created>
  <dcterms:modified xsi:type="dcterms:W3CDTF">2022-12-02T08:00:27Z</dcterms:modified>
</cp:coreProperties>
</file>