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D2A977C-BD7F-489A-9024-7BBEC4A2455B}"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Posting!$A$1:$P$23132</definedName>
    <definedName name="_xlnm._FilterDatabase" localSheetId="6" hidden="1">Supplier!$A$1:$XFC$4614</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Supplier!$A$940:$F$4560</definedName>
    <definedName name="project">'Pro Summ'!$A$6:$A$28</definedName>
  </definedNames>
  <calcPr calcId="191029" iterate="1"/>
  <pivotCaches>
    <pivotCache cacheId="21" r:id="rId29"/>
    <pivotCache cacheId="22" r:id="rId30"/>
  </pivotCaches>
</workbook>
</file>

<file path=xl/calcChain.xml><?xml version="1.0" encoding="utf-8"?>
<calcChain xmlns="http://schemas.openxmlformats.org/spreadsheetml/2006/main">
  <c r="K2" i="40" l="1"/>
  <c r="I2" i="40"/>
  <c r="J2" i="40" s="1"/>
  <c r="H2" i="40"/>
  <c r="E2" i="40"/>
  <c r="D2" i="40"/>
  <c r="L2" i="40" l="1"/>
  <c r="G4618" i="2"/>
  <c r="G4617" i="2"/>
  <c r="G4616" i="2"/>
  <c r="G4615" i="2"/>
  <c r="G4600" i="2" l="1"/>
  <c r="G4599" i="2"/>
  <c r="G23092" i="1" l="1"/>
  <c r="G23093" i="1"/>
  <c r="G23094" i="1"/>
  <c r="G23095" i="1"/>
  <c r="G23096" i="1"/>
  <c r="G23097" i="1"/>
  <c r="G4606" i="2"/>
  <c r="G4607" i="2"/>
  <c r="G4608" i="2"/>
  <c r="G4609" i="2"/>
  <c r="G4610" i="2"/>
  <c r="G4611" i="2"/>
  <c r="G4567" i="2" l="1"/>
  <c r="G4549" i="2"/>
  <c r="G4503" i="2"/>
  <c r="G4491" i="2"/>
  <c r="G4464" i="2"/>
  <c r="G4597" i="2" l="1"/>
  <c r="G4590" i="2"/>
  <c r="G4587" i="2"/>
  <c r="G4586" i="2"/>
  <c r="G4576" i="2"/>
  <c r="G4596" i="2"/>
  <c r="G4589" i="2"/>
  <c r="G23118" i="1" l="1"/>
  <c r="G4614" i="2"/>
  <c r="G23101" i="1"/>
  <c r="G23102" i="1"/>
  <c r="G23103" i="1"/>
  <c r="G23104" i="1"/>
  <c r="G23105" i="1"/>
  <c r="G23106" i="1"/>
  <c r="G23107" i="1"/>
  <c r="G23108" i="1"/>
  <c r="G23109" i="1"/>
  <c r="G23110" i="1"/>
  <c r="G23111" i="1"/>
  <c r="G23112" i="1"/>
  <c r="G23113" i="1"/>
  <c r="G23114" i="1"/>
  <c r="G23115" i="1"/>
  <c r="G23116" i="1"/>
  <c r="G23117" i="1"/>
  <c r="G23098" i="1"/>
  <c r="G23099" i="1"/>
  <c r="G23100" i="1"/>
  <c r="G4613" i="2" l="1"/>
  <c r="G4612" i="2" l="1"/>
  <c r="G4575" i="2"/>
  <c r="G4571" i="2"/>
  <c r="G4563" i="2"/>
  <c r="G4598" i="2" l="1"/>
  <c r="G23134" i="1"/>
  <c r="G23135" i="1"/>
  <c r="G23136" i="1"/>
  <c r="G23137" i="1"/>
  <c r="G23138" i="1"/>
  <c r="G23133" i="1"/>
  <c r="G23132" i="1" l="1"/>
  <c r="G23128" i="1" l="1"/>
  <c r="G23127" i="1"/>
  <c r="G4605" i="2"/>
  <c r="G4538" i="2"/>
  <c r="G4452" i="2"/>
  <c r="G4572" i="2"/>
  <c r="G4529" i="2"/>
  <c r="G4410" i="2"/>
  <c r="G23089" i="1"/>
  <c r="G23090" i="1"/>
  <c r="G23091" i="1"/>
  <c r="G4604" i="2"/>
  <c r="G23088" i="1"/>
  <c r="G23087" i="1"/>
  <c r="E4603" i="2"/>
  <c r="G4603" i="2" s="1"/>
  <c r="G4602" i="2"/>
  <c r="G4601" i="2"/>
  <c r="G23086" i="1"/>
  <c r="G23083" i="1"/>
  <c r="G23080" i="1"/>
  <c r="G23081" i="1"/>
  <c r="G23082" i="1"/>
  <c r="G23084" i="1"/>
  <c r="G23085" i="1"/>
  <c r="G23079" i="1"/>
  <c r="G4580" i="2"/>
  <c r="G4588" i="2"/>
  <c r="G4568" i="2" l="1"/>
  <c r="G23078" i="1" l="1"/>
  <c r="G23074" i="1"/>
  <c r="G23130" i="1"/>
  <c r="G23077" i="1"/>
  <c r="G23067" i="1"/>
  <c r="G23069" i="1"/>
  <c r="G23070" i="1"/>
  <c r="G23071" i="1"/>
  <c r="G23072" i="1"/>
  <c r="G23073" i="1"/>
  <c r="G23075" i="1"/>
  <c r="G23068" i="1"/>
  <c r="G23076" i="1"/>
  <c r="G4593" i="2"/>
  <c r="G4592" i="2"/>
  <c r="G23063" i="1"/>
  <c r="G4594" i="2"/>
  <c r="G4595"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7" i="2"/>
  <c r="G4574" i="2"/>
  <c r="G4565" i="2"/>
  <c r="G4564" i="2"/>
  <c r="G4562" i="2"/>
  <c r="G4591" i="2" l="1"/>
  <c r="G23020" i="1"/>
  <c r="G23021" i="1"/>
  <c r="G23050" i="1"/>
  <c r="G23049" i="1"/>
  <c r="G22997" i="1"/>
  <c r="G22998" i="1"/>
  <c r="G22999" i="1"/>
  <c r="G23000" i="1"/>
  <c r="G23126" i="1" l="1"/>
  <c r="C14" i="3"/>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131" i="1" l="1"/>
  <c r="G23129" i="1" l="1"/>
  <c r="D4" i="40" l="1"/>
  <c r="E4" i="40" s="1"/>
  <c r="H4" i="40"/>
  <c r="I4" i="40" s="1"/>
  <c r="J4" i="40" s="1"/>
  <c r="D5" i="40"/>
  <c r="E5" i="40" s="1"/>
  <c r="H5" i="40"/>
  <c r="I5" i="40" s="1"/>
  <c r="J5" i="40" s="1"/>
  <c r="D6" i="40"/>
  <c r="E6" i="40"/>
  <c r="H6" i="40"/>
  <c r="I6" i="40"/>
  <c r="J6" i="40" s="1"/>
  <c r="H3" i="40"/>
  <c r="I3" i="40" s="1"/>
  <c r="J3" i="40" s="1"/>
  <c r="D3" i="40"/>
  <c r="E3" i="40" s="1"/>
  <c r="H20" i="40" l="1"/>
  <c r="I20" i="40" s="1"/>
  <c r="J20" i="40" s="1"/>
  <c r="D20" i="40"/>
  <c r="E20" i="40" s="1"/>
  <c r="F32" i="40" l="1"/>
  <c r="G33" i="40" l="1"/>
  <c r="H23" i="40" l="1"/>
  <c r="H21" i="40" l="1"/>
  <c r="F18" i="40" l="1"/>
  <c r="G4579" i="2" l="1"/>
  <c r="G4570" i="2"/>
  <c r="G4569" i="2"/>
  <c r="G4582" i="2" l="1"/>
  <c r="G4583" i="2"/>
  <c r="G4584" i="2"/>
  <c r="G4585" i="2"/>
  <c r="G22928" i="1"/>
  <c r="G22926" i="1"/>
  <c r="G22927" i="1"/>
  <c r="G4581"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78"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6" i="2"/>
  <c r="G4544" i="2"/>
  <c r="G4573" i="2" l="1"/>
  <c r="G4447" i="2"/>
  <c r="G3698" i="2" l="1"/>
  <c r="G4401" i="2"/>
  <c r="G4400" i="2"/>
  <c r="G4530" i="2"/>
  <c r="N172" i="28"/>
  <c r="G4561" i="2" l="1"/>
  <c r="G4547" i="2"/>
  <c r="E9" i="42" l="1"/>
  <c r="E3" i="42"/>
  <c r="E6" i="42" l="1"/>
  <c r="E5" i="42" l="1"/>
  <c r="E4" i="42" l="1"/>
  <c r="G22966" i="1" l="1"/>
  <c r="G22967" i="1"/>
  <c r="G22968" i="1"/>
  <c r="G4560" i="2" l="1"/>
  <c r="G4559" i="2"/>
  <c r="G4556" i="2"/>
  <c r="G4555" i="2"/>
  <c r="G4548" i="2"/>
  <c r="G4543" i="2"/>
  <c r="G4531" i="2"/>
  <c r="G4515" i="2"/>
  <c r="G4510" i="2"/>
  <c r="G4500" i="2"/>
  <c r="G4557" i="2"/>
  <c r="G4546"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3" i="2"/>
  <c r="G4508" i="2"/>
  <c r="G4507" i="2"/>
  <c r="G4506" i="2"/>
  <c r="G4493" i="2"/>
  <c r="G4486" i="2"/>
  <c r="G4514" i="2"/>
  <c r="G4542" i="2" l="1"/>
  <c r="G4541" i="2"/>
  <c r="G4540" i="2"/>
  <c r="G4533" i="2"/>
  <c r="G4532" i="2"/>
  <c r="G4558" i="2"/>
  <c r="F4307" i="2"/>
  <c r="G4308" i="2"/>
  <c r="F4554" i="2"/>
  <c r="G4554" i="2" s="1"/>
  <c r="G4550" i="2"/>
  <c r="G4551" i="2"/>
  <c r="G4552" i="2"/>
  <c r="G4553" i="2"/>
  <c r="G4154" i="2"/>
  <c r="G19912" i="1" l="1"/>
  <c r="G19913" i="1"/>
  <c r="G19914" i="1"/>
  <c r="G22942" i="1" l="1"/>
  <c r="G22943" i="1"/>
  <c r="G22944" i="1"/>
  <c r="G22945" i="1"/>
  <c r="G22941" i="1"/>
  <c r="G22963" i="1"/>
  <c r="G22962" i="1"/>
  <c r="G4545" i="2"/>
  <c r="G4520" i="2"/>
  <c r="G4519" i="2"/>
  <c r="G4518" i="2"/>
  <c r="G4512" i="2" l="1"/>
  <c r="G4511" i="2"/>
  <c r="G4504" i="2"/>
  <c r="G4499" i="2"/>
  <c r="G4488" i="2"/>
  <c r="G4521" i="2"/>
  <c r="G4523" i="2"/>
  <c r="G4522" i="2"/>
  <c r="G4517" i="2"/>
  <c r="G4516" i="2"/>
  <c r="G4502" i="2"/>
  <c r="G4501" i="2"/>
  <c r="G4537" i="2"/>
  <c r="G4536" i="2"/>
  <c r="G22730" i="1"/>
  <c r="G22729" i="1"/>
  <c r="G4509" i="2"/>
  <c r="G4498" i="2"/>
  <c r="G4497" i="2"/>
  <c r="G4490" i="2"/>
  <c r="G4539" i="2"/>
  <c r="G4535" i="2"/>
  <c r="G4534" i="2"/>
  <c r="G4496"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4" i="2"/>
  <c r="G4525" i="2"/>
  <c r="G4526" i="2"/>
  <c r="G4527" i="2"/>
  <c r="G4528" i="2"/>
  <c r="G22959" i="1"/>
  <c r="G22938" i="1"/>
  <c r="G22935" i="1"/>
  <c r="G22936" i="1"/>
  <c r="G22937" i="1"/>
  <c r="G22934" i="1"/>
  <c r="G22933" i="1"/>
  <c r="G22958" i="1" l="1"/>
  <c r="G22956" i="1"/>
  <c r="G22954" i="1"/>
  <c r="G22554" i="1"/>
  <c r="G22468" i="1"/>
  <c r="G22469" i="1"/>
  <c r="G22466" i="1"/>
  <c r="G22467" i="1"/>
  <c r="G22544" i="1"/>
  <c r="G4505"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5" i="2"/>
  <c r="G4494"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4" i="40" l="1"/>
  <c r="H14" i="40" l="1"/>
  <c r="I14" i="40" s="1"/>
  <c r="J14"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8" i="40"/>
  <c r="I18" i="40" s="1"/>
  <c r="J18" i="40" s="1"/>
  <c r="D18" i="40"/>
  <c r="E18"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5"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9" i="40"/>
  <c r="I19" i="40" s="1"/>
  <c r="J19" i="40" s="1"/>
  <c r="D19" i="40"/>
  <c r="E19" i="40" s="1"/>
  <c r="G19820" i="1"/>
  <c r="G19822" i="1"/>
  <c r="G19819" i="1"/>
  <c r="G19818" i="1"/>
  <c r="G19821" i="1"/>
  <c r="G19811" i="1"/>
  <c r="G19812" i="1"/>
  <c r="G19813" i="1"/>
  <c r="G19814" i="1"/>
  <c r="G19815" i="1"/>
  <c r="G19816" i="1"/>
  <c r="G19817" i="1"/>
  <c r="G19808" i="1"/>
  <c r="G19809" i="1"/>
  <c r="G19810" i="1"/>
  <c r="G19803" i="1"/>
  <c r="G19928" i="1" l="1"/>
  <c r="H7" i="40" l="1"/>
  <c r="I7" i="40" s="1"/>
  <c r="J7" i="40" s="1"/>
  <c r="D7" i="40"/>
  <c r="E7"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2" i="40"/>
  <c r="D11" i="40" l="1"/>
  <c r="D10" i="40"/>
  <c r="D13" i="40" l="1"/>
  <c r="D9" i="40" l="1"/>
  <c r="D8" i="40" l="1"/>
  <c r="H8" i="40" l="1"/>
  <c r="I8" i="40" s="1"/>
  <c r="J8" i="40" s="1"/>
  <c r="E8" i="40"/>
  <c r="H9" i="40"/>
  <c r="I9" i="40" s="1"/>
  <c r="J9" i="40" s="1"/>
  <c r="E9" i="40"/>
  <c r="E10" i="40"/>
  <c r="H10" i="40"/>
  <c r="I10" i="40" s="1"/>
  <c r="J10" i="40" s="1"/>
  <c r="H11" i="40"/>
  <c r="I11" i="40" s="1"/>
  <c r="J11" i="40" s="1"/>
  <c r="H12" i="40"/>
  <c r="I12" i="40" s="1"/>
  <c r="J12" i="40" s="1"/>
  <c r="E12" i="40"/>
  <c r="H13" i="40"/>
  <c r="I13" i="40" s="1"/>
  <c r="J13" i="40" s="1"/>
  <c r="H16" i="40"/>
  <c r="I16" i="40" s="1"/>
  <c r="J16" i="40" s="1"/>
  <c r="E21" i="40" l="1"/>
  <c r="H25" i="40" l="1"/>
  <c r="E29"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2" i="40" l="1"/>
  <c r="G28" i="40" l="1"/>
  <c r="G29" i="40" l="1"/>
  <c r="G30" i="40" l="1"/>
  <c r="H15" i="40" l="1"/>
  <c r="H17" i="40"/>
  <c r="H32" i="40"/>
  <c r="H22" i="40"/>
  <c r="H26" i="40"/>
  <c r="I26" i="40" s="1"/>
  <c r="H33" i="40"/>
  <c r="H27" i="40"/>
  <c r="H31" i="40"/>
  <c r="H28" i="40"/>
  <c r="H29" i="40"/>
  <c r="H30" i="40"/>
  <c r="I30" i="40" s="1"/>
  <c r="J30" i="40" s="1"/>
  <c r="I17" i="40" l="1"/>
  <c r="J17" i="40" s="1"/>
  <c r="I25" i="40"/>
  <c r="J25" i="40" s="1"/>
  <c r="I22" i="40"/>
  <c r="J22" i="40" s="1"/>
  <c r="I27" i="40"/>
  <c r="J27" i="40" s="1"/>
  <c r="I15" i="40"/>
  <c r="J15" i="40" s="1"/>
  <c r="I32" i="40"/>
  <c r="J32" i="40" s="1"/>
  <c r="J26" i="40"/>
  <c r="I33" i="40"/>
  <c r="J33" i="40" s="1"/>
  <c r="I31" i="40"/>
  <c r="J31" i="40" s="1"/>
  <c r="I28" i="40"/>
  <c r="J28" i="40" s="1"/>
  <c r="I29" i="40"/>
  <c r="J29" i="40" s="1"/>
  <c r="D33" i="40"/>
  <c r="E33" i="40" s="1"/>
  <c r="D24" i="40" l="1"/>
  <c r="E24" i="40" l="1"/>
  <c r="H24" i="40" s="1"/>
  <c r="I24" i="40" s="1"/>
  <c r="J24" i="40" s="1"/>
  <c r="E17" i="40"/>
  <c r="I21" i="40"/>
  <c r="J21" i="40" s="1"/>
  <c r="E32" i="40"/>
  <c r="E22" i="40"/>
  <c r="E26" i="40"/>
  <c r="E31" i="40"/>
  <c r="E28" i="40"/>
  <c r="E30" i="40"/>
  <c r="E23" i="40"/>
  <c r="I23" i="40" s="1"/>
  <c r="J23" i="40" s="1"/>
  <c r="B27" i="40"/>
  <c r="G3670" i="2"/>
  <c r="G3665" i="2"/>
  <c r="G3664" i="2"/>
  <c r="G3645" i="2"/>
  <c r="J34" i="40" l="1"/>
  <c r="E27"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5" i="40" l="1"/>
  <c r="L5" i="40" s="1"/>
  <c r="K20" i="40"/>
  <c r="L20" i="40" s="1"/>
  <c r="K4" i="40"/>
  <c r="L4" i="40" s="1"/>
  <c r="K3" i="40"/>
  <c r="L3" i="40" s="1"/>
  <c r="K6" i="40"/>
  <c r="L6" i="40" s="1"/>
  <c r="K14" i="40"/>
  <c r="L14" i="40" s="1"/>
  <c r="F2" i="33"/>
  <c r="G2" i="33"/>
  <c r="K29" i="40"/>
  <c r="O29" i="40" s="1"/>
  <c r="G3" i="33"/>
  <c r="F3" i="33"/>
  <c r="K18" i="40"/>
  <c r="F5" i="33"/>
  <c r="G4" i="33"/>
  <c r="G5" i="33"/>
  <c r="F4" i="33"/>
  <c r="K7" i="40"/>
  <c r="L7" i="40" s="1"/>
  <c r="K19" i="40"/>
  <c r="L19" i="40" s="1"/>
  <c r="K8" i="40"/>
  <c r="L8" i="40" s="1"/>
  <c r="K9" i="40"/>
  <c r="L9" i="40" s="1"/>
  <c r="K16" i="40"/>
  <c r="L16" i="40" s="1"/>
  <c r="K10" i="40"/>
  <c r="L10" i="40" s="1"/>
  <c r="K12" i="40"/>
  <c r="L12" i="40" s="1"/>
  <c r="K13" i="40"/>
  <c r="K11" i="40"/>
  <c r="L11" i="40" s="1"/>
  <c r="K23" i="40"/>
  <c r="L23" i="40" s="1"/>
  <c r="L33" i="40"/>
  <c r="G14" i="33"/>
  <c r="F14" i="33"/>
  <c r="F6" i="33"/>
  <c r="G6" i="33"/>
  <c r="K25" i="40"/>
  <c r="K24" i="40"/>
  <c r="L24" i="40" s="1"/>
  <c r="K26" i="40"/>
  <c r="L26" i="40" s="1"/>
  <c r="K27" i="40"/>
  <c r="K17" i="40"/>
  <c r="L17" i="40" s="1"/>
  <c r="K28" i="40"/>
  <c r="L28" i="40" s="1"/>
  <c r="K32" i="40"/>
  <c r="K15" i="40"/>
  <c r="K31" i="40"/>
  <c r="L31" i="40" s="1"/>
  <c r="K21" i="40"/>
  <c r="K22" i="40"/>
  <c r="L22" i="40" s="1"/>
  <c r="K30" i="40"/>
  <c r="L30"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9" i="40" l="1"/>
  <c r="L27" i="40"/>
  <c r="O27" i="40"/>
  <c r="L25" i="40"/>
  <c r="O25" i="40"/>
  <c r="L32" i="40"/>
  <c r="O32" i="40"/>
  <c r="L21" i="40"/>
  <c r="O21" i="40"/>
  <c r="L18" i="40"/>
  <c r="K34" i="40"/>
  <c r="L13" i="40"/>
  <c r="L15" i="40"/>
  <c r="AA12" i="31"/>
  <c r="J28" i="3"/>
  <c r="AF4" i="31"/>
  <c r="AA7" i="31"/>
  <c r="AF5" i="31"/>
  <c r="K28" i="3"/>
  <c r="L33" i="33"/>
  <c r="AK213" i="3"/>
  <c r="L34"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<sst xmlns="http://schemas.openxmlformats.org/spreadsheetml/2006/main" count="105220" uniqueCount="16004">
  <si>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</si>
  <si>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</si>
  <si>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</si>
  <si>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</si>
  <si>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</si>
  <si>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</si>
  <si>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</si>
  <si>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</si>
  <si>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</si>
  <si>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</si>
  <si>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</si>
  <si>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</si>
  <si>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</si>
  <si>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</si>
  <si>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</si>
  <si>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</si>
  <si>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</si>
  <si>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</si>
  <si>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</si>
  <si>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</si>
  <si>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</si>
  <si>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</si>
  <si>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</si>
  <si>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</si>
  <si>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</si>
  <si>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</si>
  <si>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</si>
  <si>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</si>
  <si>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</si>
  <si>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</si>
  <si>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</si>
  <si>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</si>
  <si>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</si>
  <si>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</si>
  <si>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</si>
  <si>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</si>
  <si>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</si>
  <si>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</si>
  <si>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</si>
  <si>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</si>
  <si>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</si>
  <si>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</si>
  <si>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</si>
  <si>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</si>
  <si>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</si>
  <si>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</si>
  <si>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</si>
  <si>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</si>
  <si>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</si>
  <si>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</si>
  <si>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</si>
  <si>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</si>
  <si>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</si>
  <si>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</si>
  <si>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</si>
  <si>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</si>
  <si>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</si>
  <si>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</si>
  <si>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</si>
  <si>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</si>
  <si>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</si>
  <si>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</si>
  <si>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</si>
  <si>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</si>
  <si>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</si>
  <si>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</si>
  <si>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</si>
  <si>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</si>
  <si>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</si>
  <si>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</si>
  <si>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</si>
  <si>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</si>
  <si>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</si>
  <si>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</si>
  <si>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</si>
  <si>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</si>
  <si>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</si>
  <si>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</si>
  <si>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</si>
  <si>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</si>
  <si>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</si>
  <si>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</si>
  <si>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</si>
  <si>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</si>
  <si>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</si>
  <si>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</si>
  <si>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</si>
  <si>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</si>
  <si>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</si>
  <si>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</si>
  <si>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</si>
  <si>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</si>
  <si>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</si>
  <si>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</si>
  <si>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</si>
  <si>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</si>
  <si>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</si>
  <si>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</si>
  <si>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</si>
  <si>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</si>
  <si>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</si>
  <si>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</si>
  <si>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</si>
  <si>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</si>
  <si>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</si>
  <si>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</si>
  <si>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</si>
  <si>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</si>
  <si>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</si>
  <si>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</si>
  <si>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</si>
  <si>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</si>
  <si>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</si>
  <si>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</si>
  <si>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</si>
  <si>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</si>
  <si>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</si>
  <si>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</si>
  <si>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</si>
  <si>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</si>
  <si>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</si>
  <si>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</si>
  <si>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</si>
  <si>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</si>
  <si>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</si>
  <si>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</si>
  <si>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</si>
  <si>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</si>
  <si>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</si>
  <si>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</si>
  <si>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</si>
  <si>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</si>
  <si>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</si>
  <si>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</si>
  <si>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</si>
  <si>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</si>
  <si>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</si>
  <si>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</si>
  <si>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</si>
  <si>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</si>
  <si>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</si>
  <si>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</si>
  <si>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</si>
  <si>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</si>
  <si>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</si>
  <si>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</si>
  <si>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</si>
  <si>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</si>
  <si>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</si>
  <si>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</si>
  <si>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</si>
  <si>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</si>
  <si>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</si>
  <si>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</si>
  <si>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</si>
  <si>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</si>
  <si>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</si>
  <si>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</si>
  <si>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</si>
  <si>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</si>
  <si>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</si>
  <si>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</si>
  <si>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</si>
  <si>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</si>
  <si>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</si>
  <si>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</si>
  <si>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</si>
  <si>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</si>
  <si>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</si>
  <si>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</si>
  <si>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</si>
  <si>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</si>
  <si>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</si>
  <si>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</si>
  <si>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</si>
  <si>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</si>
  <si>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</si>
  <si>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</si>
  <si>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</si>
  <si>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</si>
  <si>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</si>
  <si>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</si>
  <si>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</si>
  <si>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</si>
  <si>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</si>
  <si>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</si>
  <si>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</si>
  <si>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</si>
  <si>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</si>
  <si>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</si>
  <si>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</si>
  <si>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</si>
  <si>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</si>
  <si>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</si>
  <si>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</si>
  <si>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</si>
  <si>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</si>
  <si>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</si>
  <si>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</si>
  <si>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</si>
  <si>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</si>
  <si>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</si>
  <si>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</si>
  <si>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</si>
  <si>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</si>
  <si>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</si>
  <si>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</si>
  <si>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</si>
  <si>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</si>
  <si>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</si>
  <si>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</si>
  <si>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</si>
  <si>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</si>
  <si>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</si>
  <si>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</si>
  <si>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</si>
  <si>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</si>
  <si>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</si>
  <si>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</si>
  <si>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</si>
  <si>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</si>
  <si>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</si>
  <si>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</si>
  <si>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</si>
  <si>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</si>
  <si>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</si>
  <si>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</si>
  <si>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</si>
  <si>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</si>
  <si>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</si>
  <si>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</si>
  <si>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</si>
  <si>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</si>
  <si>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</si>
  <si>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</si>
  <si>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</si>
  <si>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</si>
  <si>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</si>
  <si>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</si>
  <si>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</si>
  <si>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</si>
  <si>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</si>
  <si>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</si>
  <si>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</si>
  <si>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</si>
  <si>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</si>
  <si>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</si>
  <si>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</si>
  <si>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</si>
  <si>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</si>
  <si>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</si>
  <si>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</si>
  <si>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</si>
  <si>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</si>
  <si>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</si>
  <si>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</si>
  <si>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</si>
  <si>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</si>
  <si>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</si>
  <si>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</si>
  <si>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</si>
  <si>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</si>
  <si>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</si>
  <si>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</si>
  <si>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</si>
  <si>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</si>
  <si>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</si>
  <si>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</si>
  <si>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</si>
  <si>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</si>
  <si>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</si>
  <si>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</si>
  <si>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</si>
  <si>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</si>
  <si>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</si>
  <si>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</si>
  <si>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</si>
  <si>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</si>
  <si>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</si>
  <si>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</si>
  <si>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</si>
  <si>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</si>
  <si>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</si>
  <si>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</si>
  <si>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</si>
  <si>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</si>
  <si>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</si>
  <si>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</si>
  <si>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</si>
  <si>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</si>
  <si>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</si>
  <si>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</si>
  <si>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</si>
  <si>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</si>
  <si>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</si>
  <si>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</si>
  <si>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</si>
  <si>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</si>
  <si>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</si>
  <si>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</si>
  <si>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</si>
  <si>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</si>
  <si>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</si>
  <si>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</si>
  <si>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</si>
  <si>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</si>
  <si>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</si>
  <si>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</si>
  <si>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</si>
  <si>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</si>
  <si>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</si>
  <si>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</si>
  <si>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</si>
  <si>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</si>
  <si>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</si>
  <si>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</si>
  <si>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</si>
  <si>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</si>
  <si>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</si>
  <si>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</si>
  <si>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</si>
  <si>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</si>
  <si>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</si>
  <si>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</si>
  <si>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</si>
  <si>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</si>
  <si>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</si>
  <si>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</si>
  <si>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</si>
  <si>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</si>
  <si>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</si>
  <si>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</si>
  <si>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</si>
  <si>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</si>
  <si>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</si>
  <si>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</si>
  <si>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</si>
  <si>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</si>
  <si>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</si>
  <si>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</si>
  <si>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</si>
  <si>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</si>
  <si>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</si>
  <si>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</si>
  <si>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</si>
  <si>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</si>
  <si>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</si>
  <si>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</si>
  <si>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</si>
  <si>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</si>
  <si>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</si>
  <si>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</si>
  <si>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</si>
  <si>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</si>
  <si>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</si>
  <si>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</si>
  <si>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</si>
  <si>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</si>
  <si>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</si>
  <si>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</si>
  <si>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</si>
  <si>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</si>
  <si>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</si>
  <si>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</si>
  <si>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</si>
  <si>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</si>
  <si>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</si>
  <si>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</si>
  <si>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</si>
  <si>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</si>
  <si>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</si>
  <si>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</si>
  <si>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</si>
  <si>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</si>
  <si>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</si>
  <si>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</si>
  <si>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</si>
  <si>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</si>
  <si>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</si>
  <si>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</si>
  <si>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</si>
  <si>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</si>
  <si>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</si>
  <si>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</si>
  <si>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</si>
  <si>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</si>
  <si>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</si>
  <si>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</si>
  <si>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</si>
  <si>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</si>
  <si>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</si>
  <si>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</si>
  <si>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</si>
  <si>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</si>
  <si>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</si>
  <si>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</si>
  <si>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</si>
  <si>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</si>
  <si>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</si>
  <si>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</si>
  <si>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</si>
  <si>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</si>
  <si>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</si>
  <si>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</si>
  <si>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</si>
  <si>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</si>
  <si>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</si>
  <si>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</si>
  <si>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</si>
  <si>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</si>
  <si>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</si>
  <si>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</si>
  <si>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</si>
  <si>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</si>
  <si>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</si>
  <si>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</si>
  <si>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</si>
  <si>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</si>
  <si>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</si>
  <si>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</si>
  <si>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</si>
  <si>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</si>
  <si>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</si>
  <si>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</si>
  <si>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</si>
  <si>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</si>
  <si>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</si>
  <si>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</si>
  <si>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</si>
  <si>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</si>
  <si>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</si>
  <si>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</si>
  <si>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</si>
  <si>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</si>
  <si>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</si>
  <si>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</si>
  <si>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</si>
  <si>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</si>
  <si>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</si>
  <si>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</si>
  <si>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</si>
  <si>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</si>
  <si>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</si>
  <si>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</si>
  <si>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</si>
  <si>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</si>
  <si>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</si>
  <si>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</si>
  <si>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</si>
  <si>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</si>
  <si>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</si>
  <si>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</si>
  <si>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</si>
  <si>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</si>
  <si>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</si>
  <si>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</si>
  <si>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</si>
  <si>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</si>
  <si>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</si>
  <si>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</si>
  <si>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</si>
  <si>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</si>
  <si>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</si>
  <si>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</si>
  <si>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</si>
  <si>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</si>
  <si>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</si>
  <si>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</si>
  <si>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</si>
  <si>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</si>
  <si>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</si>
  <si>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</si>
  <si>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</si>
  <si>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</si>
  <si>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</si>
  <si>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</si>
  <si>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</si>
  <si>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</si>
  <si>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</si>
  <si>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</si>
  <si>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</si>
  <si>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</si>
  <si>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</si>
  <si>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</si>
  <si>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</si>
  <si>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</si>
  <si>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</si>
  <si>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</si>
  <si>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</si>
  <si>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</si>
  <si>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</si>
  <si>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</si>
  <si>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</si>
  <si>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</si>
  <si>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</si>
  <si>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</si>
  <si>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</si>
  <si>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</si>
  <si>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</si>
  <si>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</si>
  <si>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</si>
  <si>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</si>
  <si>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</si>
  <si>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</si>
  <si>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</si>
  <si>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</si>
  <si>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</si>
  <si>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</si>
  <si>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</si>
  <si>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</si>
  <si>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</si>
  <si>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</si>
  <si>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</si>
  <si>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</si>
  <si>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</si>
  <si>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</si>
  <si>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</si>
  <si>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</si>
  <si>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</si>
  <si>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</si>
  <si>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</si>
  <si>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</si>
  <si>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</si>
  <si>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</si>
  <si>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</si>
  <si>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</si>
  <si>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</si>
  <si>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</si>
  <si>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</si>
  <si>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</si>
  <si>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</si>
  <si>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</si>
  <si>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</si>
  <si>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</si>
  <si>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</si>
  <si>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</si>
  <si>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</si>
  <si>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</si>
  <si>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</si>
  <si>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</si>
  <si>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</si>
  <si>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</si>
  <si>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</si>
  <si>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</si>
  <si>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</si>
  <si>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</si>
  <si>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</si>
  <si>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</si>
  <si>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</si>
  <si>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</si>
  <si>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</si>
  <si>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</si>
  <si>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</si>
  <si>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</si>
  <si>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</si>
  <si>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</si>
  <si>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</si>
  <si>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</si>
  <si>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</si>
  <si>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</si>
  <si>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</si>
  <si>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</si>
  <si>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</si>
  <si>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</si>
  <si>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</si>
  <si>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</si>
  <si>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</si>
  <si>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</si>
  <si>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</si>
  <si>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</si>
  <si>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</si>
  <si>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</si>
  <si>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</si>
  <si>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</si>
  <si>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</si>
  <si>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</si>
  <si>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</si>
  <si>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</si>
  <si>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</si>
  <si>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</si>
  <si>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</si>
  <si>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</si>
  <si>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</si>
  <si>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</si>
  <si>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</si>
  <si>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</si>
  <si>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</si>
  <si>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</si>
  <si>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</si>
  <si>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</si>
  <si>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</si>
  <si>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</si>
  <si>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</si>
  <si>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</si>
  <si>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</si>
  <si>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</si>
  <si>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</si>
  <si>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</si>
  <si>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</si>
  <si>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</si>
  <si>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</si>
  <si>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</si>
  <si>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</si>
  <si>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</si>
  <si>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</si>
  <si>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</si>
  <si>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</si>
  <si>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</si>
  <si>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</si>
  <si>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</si>
  <si>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</si>
  <si>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</si>
  <si>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</si>
  <si>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</si>
  <si>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</si>
  <si>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</si>
  <si>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</si>
  <si>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</si>
  <si>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</si>
  <si>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</si>
  <si>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</si>
  <si>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</si>
  <si>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</si>
  <si>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</si>
  <si>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</si>
  <si>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</si>
  <si>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</si>
  <si>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</si>
  <si>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</si>
  <si>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</si>
  <si>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</si>
  <si>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</si>
  <si>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</si>
  <si>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</si>
  <si>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</si>
  <si>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</si>
  <si>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</si>
  <si>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</si>
  <si>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</si>
  <si>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</si>
  <si>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</si>
  <si>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</si>
  <si>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</si>
  <si>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</si>
  <si>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</si>
  <si>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</si>
  <si>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</si>
  <si>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</si>
  <si>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</si>
  <si>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</si>
  <si>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</si>
  <si>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</si>
  <si>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</si>
  <si>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</si>
  <si>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</si>
  <si>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</si>
  <si>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</si>
  <si>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</si>
  <si>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</si>
  <si>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</si>
  <si>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</si>
  <si>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</si>
  <si>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</si>
  <si>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</si>
  <si>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</si>
  <si>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</si>
  <si>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</si>
  <si>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</si>
  <si>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</si>
  <si>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</si>
  <si>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</si>
  <si>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</si>
  <si>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</si>
  <si>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</si>
  <si>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</si>
  <si>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</si>
  <si>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</si>
  <si>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</si>
  <si>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</si>
  <si>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</si>
  <si>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</si>
  <si>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</si>
  <si>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</si>
  <si>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</si>
  <si>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</si>
  <si>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</si>
  <si>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</si>
  <si>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</si>
  <si>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</si>
  <si>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</si>
  <si>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</si>
  <si>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</si>
  <si>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</si>
  <si>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</si>
  <si>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</si>
  <si>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</si>
  <si>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</si>
  <si>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</si>
  <si>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</si>
  <si>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</si>
  <si>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</si>
  <si>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</si>
  <si>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</si>
  <si>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</si>
  <si>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</si>
  <si>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</si>
  <si>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</si>
  <si>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</si>
  <si>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</si>
  <si>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</si>
  <si>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</si>
  <si>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</si>
  <si>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</si>
  <si>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</si>
  <si>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</si>
  <si>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</si>
  <si>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</si>
  <si>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</si>
  <si>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</si>
  <si>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</si>
  <si>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</si>
  <si>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</si>
  <si>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</si>
  <si>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</si>
  <si>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</si>
  <si>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</si>
  <si>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</si>
  <si>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</si>
  <si>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</si>
  <si>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</si>
  <si>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</si>
  <si>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</si>
  <si>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</si>
  <si>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</si>
  <si>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</si>
  <si>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</si>
  <si>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</si>
  <si>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</si>
  <si>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</si>
  <si>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</si>
  <si>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</si>
  <si>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</si>
  <si>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</si>
  <si>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</si>
  <si>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</si>
  <si>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</si>
  <si>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</si>
  <si>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</si>
  <si>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</si>
  <si>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</si>
  <si>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</si>
  <si>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</si>
  <si>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</si>
  <si>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</si>
  <si>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</si>
  <si>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</si>
  <si>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</si>
  <si>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</si>
  <si>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</si>
  <si>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</si>
  <si>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</si>
  <si>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</si>
  <si>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</si>
  <si>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</si>
  <si>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</si>
  <si>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</si>
  <si>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</si>
  <si>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</si>
  <si>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</si>
  <si>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</si>
  <si>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</si>
  <si>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</si>
  <si>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</si>
  <si>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</si>
  <si>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</si>
  <si>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</si>
  <si>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</si>
  <si>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</si>
  <si>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</si>
  <si>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</si>
  <si>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</si>
  <si>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</si>
  <si>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</si>
  <si>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</si>
  <si>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</si>
  <si>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</si>
  <si>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</si>
  <si>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</si>
  <si>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</si>
  <si>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</si>
  <si>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</si>
  <si>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</si>
  <si>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</si>
  <si>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</si>
  <si>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</si>
  <si>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</si>
  <si>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</si>
  <si>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</si>
  <si>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</si>
  <si>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</si>
  <si>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</si>
  <si>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</si>
  <si>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</si>
  <si>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</si>
  <si>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</si>
  <si>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</si>
  <si>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</si>
  <si>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</si>
  <si>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</si>
  <si>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</si>
  <si>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</si>
  <si>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</si>
  <si>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</si>
  <si>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</si>
  <si>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</si>
  <si>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</si>
  <si>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</si>
  <si>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</si>
  <si>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</si>
  <si>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</si>
  <si>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</si>
  <si>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</si>
  <si>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</si>
  <si>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</si>
  <si>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</si>
  <si>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</si>
  <si>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</si>
  <si>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</si>
  <si>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</si>
  <si>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</si>
  <si>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</si>
  <si>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</si>
  <si>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</si>
  <si>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</si>
  <si>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</si>
  <si>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</si>
  <si>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</si>
  <si>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</si>
  <si>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</si>
  <si>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</si>
  <si>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</si>
  <si>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</si>
  <si>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</si>
  <si>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</si>
  <si>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</si>
  <si>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</si>
  <si>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</si>
  <si>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</si>
  <si>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</si>
  <si>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</si>
  <si>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</si>
  <si>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</si>
  <si>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</si>
  <si>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</si>
  <si>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</si>
  <si>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</si>
  <si>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</si>
  <si>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</si>
  <si>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</si>
  <si>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</si>
  <si>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</si>
  <si>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</si>
  <si>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</si>
  <si>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</si>
  <si>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</si>
  <si>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</si>
  <si>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</si>
  <si>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</si>
  <si>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</si>
  <si>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</si>
  <si>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</si>
  <si>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</si>
  <si>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</si>
  <si>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</si>
  <si>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</si>
  <si>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</si>
  <si>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</si>
  <si>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</si>
  <si>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</si>
  <si>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</si>
  <si>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</si>
  <si>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</si>
  <si>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</si>
  <si>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</si>
  <si>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</si>
  <si>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</si>
  <si>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</si>
  <si>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</si>
  <si>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</si>
  <si>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</si>
  <si>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</si>
  <si>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</si>
  <si>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</si>
  <si>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</si>
  <si>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</si>
  <si>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</si>
  <si>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</si>
  <si>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</si>
  <si>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</si>
  <si>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</si>
  <si>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</si>
  <si>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</si>
  <si>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</si>
  <si>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</si>
  <si>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</si>
  <si>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</si>
  <si>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</si>
  <si>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</si>
  <si>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</si>
  <si>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</si>
  <si>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</si>
  <si>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</si>
  <si>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</si>
  <si>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</si>
  <si>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</si>
  <si>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</si>
  <si>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</si>
  <si>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</si>
  <si>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</si>
  <si>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</si>
  <si>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</si>
  <si>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</si>
  <si>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</si>
  <si>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</si>
  <si>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</si>
  <si>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</si>
  <si>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</si>
  <si>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</si>
  <si>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</si>
  <si>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</si>
  <si>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</si>
  <si>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</si>
  <si>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</si>
  <si>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</si>
  <si>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</si>
  <si>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</si>
  <si>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</si>
  <si>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</si>
  <si>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</si>
  <si>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</si>
  <si>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</si>
  <si>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</si>
  <si>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</si>
  <si>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</si>
  <si>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</si>
  <si>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</si>
  <si>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</si>
  <si>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</si>
  <si>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</si>
  <si>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</si>
  <si>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</si>
  <si>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</si>
  <si>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</si>
  <si>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</si>
  <si>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</si>
  <si>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</si>
  <si>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</si>
  <si>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</si>
  <si>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</si>
  <si>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</si>
  <si>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</si>
  <si>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</si>
  <si>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</si>
  <si>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</si>
  <si>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</si>
  <si>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</si>
  <si>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</si>
  <si>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</si>
  <si>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</si>
  <si>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</si>
  <si>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</si>
  <si>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</si>
  <si>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</si>
  <si>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</si>
  <si>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</si>
  <si>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</si>
  <si>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</si>
  <si>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</si>
  <si>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</si>
  <si>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</si>
  <si>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</si>
  <si>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</si>
  <si>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</si>
  <si>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</si>
  <si>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</si>
  <si>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</si>
  <si>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</si>
  <si>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</si>
  <si>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</si>
  <si>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</si>
  <si>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</si>
  <si>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</si>
  <si>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</si>
  <si>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</si>
  <si>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</si>
  <si>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</si>
  <si>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</si>
  <si>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</si>
  <si>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</si>
  <si>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</si>
  <si>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</si>
  <si>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</si>
  <si>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</si>
  <si>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</si>
  <si>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</si>
  <si>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</si>
  <si>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</si>
  <si>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</si>
  <si>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</si>
  <si>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</si>
  <si>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</si>
  <si>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</si>
  <si>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</si>
  <si>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</si>
  <si>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</si>
  <si>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</si>
  <si>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</si>
  <si>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</si>
  <si>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</si>
  <si>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</si>
  <si>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</si>
  <si>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</si>
  <si>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</si>
  <si>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</si>
  <si>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</si>
  <si>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</si>
  <si>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</si>
  <si>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</si>
  <si>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</si>
  <si>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</si>
  <si>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</si>
  <si>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</si>
  <si>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</si>
  <si>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</si>
  <si>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</si>
  <si>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</si>
  <si>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</si>
  <si>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</si>
  <si>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</si>
  <si>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</si>
  <si>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</si>
  <si>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</si>
  <si>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</si>
  <si>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</si>
  <si>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</si>
  <si>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</si>
  <si>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</si>
  <si>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</si>
  <si>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</si>
  <si>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</si>
  <si>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</si>
  <si>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</si>
  <si>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</si>
  <si>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</si>
  <si>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</si>
  <si>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</si>
  <si>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</si>
  <si>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</si>
  <si>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</si>
  <si>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</si>
  <si>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</si>
  <si>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</si>
  <si>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</si>
  <si>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</si>
  <si>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</si>
  <si>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</si>
  <si>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</si>
  <si>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</si>
  <si>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</si>
  <si>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</si>
  <si>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</si>
  <si>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</si>
  <si>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</si>
  <si>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</si>
  <si>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</si>
  <si>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</si>
  <si>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</si>
  <si>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</si>
  <si>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</si>
  <si>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</si>
  <si>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</si>
  <si>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</si>
  <si>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</si>
  <si>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</si>
  <si>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</si>
  <si>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</si>
  <si>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</si>
  <si>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</si>
  <si>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</si>
  <si>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</si>
  <si>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</si>
  <si>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</si>
  <si>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</si>
  <si>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</si>
  <si>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</si>
  <si>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</si>
  <si>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</si>
  <si>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</si>
  <si>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</si>
  <si>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</si>
  <si>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</si>
  <si>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</si>
  <si>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</si>
  <si>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</si>
  <si>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</si>
  <si>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</si>
  <si>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</si>
  <si>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</si>
  <si>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</si>
  <si>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</si>
  <si>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</si>
  <si>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</si>
  <si>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</si>
  <si>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</si>
  <si>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</si>
  <si>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</si>
  <si>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</si>
  <si>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</si>
  <si>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</si>
  <si>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</si>
  <si>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</si>
  <si>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</si>
  <si>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</si>
  <si>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</si>
  <si>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</si>
  <si>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</si>
  <si>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</si>
  <si>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</si>
  <si>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</si>
  <si>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</si>
  <si>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</si>
  <si>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</si>
  <si>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</si>
  <si>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</si>
  <si>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</si>
  <si>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</si>
  <si>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</si>
  <si>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</si>
  <si>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</si>
  <si>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</si>
  <si>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</si>
  <si>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</si>
  <si>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</si>
  <si>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</si>
  <si>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</si>
  <si>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</si>
  <si>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</si>
  <si>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</si>
  <si>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</si>
  <si>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</si>
  <si>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</si>
  <si>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</si>
  <si>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</si>
  <si>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</si>
  <si>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</si>
  <si>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</si>
  <si>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</si>
  <si>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</si>
  <si>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</si>
  <si>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</si>
  <si>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</si>
  <si>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</si>
  <si>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</si>
  <si>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</si>
  <si>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</si>
  <si>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</si>
  <si>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</si>
  <si>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</si>
  <si>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</si>
  <si>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</si>
  <si>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</si>
  <si>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</si>
  <si>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</si>
  <si>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</si>
  <si>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</si>
  <si>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</si>
  <si>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</si>
  <si>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</si>
  <si>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</si>
  <si>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</si>
  <si>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</si>
  <si>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</si>
  <si>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</si>
  <si>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</si>
  <si>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</si>
  <si>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</si>
  <si>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</si>
  <si>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</si>
  <si>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</si>
  <si>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</si>
  <si>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</si>
  <si>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</si>
  <si>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</si>
  <si>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</si>
  <si>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</si>
  <si>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</si>
  <si>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</si>
  <si>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</si>
  <si>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</si>
  <si>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</si>
  <si>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</si>
  <si>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</si>
  <si>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</si>
  <si>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</si>
  <si>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</si>
  <si>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</si>
  <si>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</si>
  <si>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</si>
  <si>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</si>
  <si>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</si>
  <si>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</si>
  <si>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</si>
  <si>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</si>
  <si>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</si>
  <si>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</si>
  <si>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</si>
  <si>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</si>
  <si>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</si>
  <si>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</si>
  <si>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</si>
  <si>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</si>
  <si>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</si>
  <si>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</si>
  <si>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</si>
  <si>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</si>
  <si>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</si>
  <si>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</si>
  <si>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</si>
  <si>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</si>
  <si>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</si>
  <si>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</si>
  <si>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</si>
  <si>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</si>
  <si>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</si>
  <si>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</si>
  <si>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</si>
  <si>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</si>
  <si>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</si>
  <si>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</si>
  <si>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</si>
  <si>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</si>
  <si>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</si>
  <si>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</si>
  <si>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</si>
  <si>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</si>
  <si>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</si>
  <si>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</si>
  <si>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</si>
  <si>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</si>
  <si>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</si>
  <si>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</si>
  <si>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</si>
  <si>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</si>
  <si>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</si>
  <si>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</si>
  <si>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</si>
  <si>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</si>
  <si>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</si>
  <si>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</si>
  <si>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</si>
  <si>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</si>
  <si>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</si>
  <si>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</si>
  <si>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</si>
  <si>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</si>
  <si>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</si>
  <si>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</si>
  <si>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</si>
  <si>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</si>
  <si>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</si>
  <si>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</si>
  <si>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</si>
  <si>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</si>
  <si>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</si>
  <si>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</si>
  <si>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</si>
  <si>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</si>
  <si>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</si>
  <si>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</si>
  <si>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</si>
  <si>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</si>
  <si>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</si>
  <si>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</si>
  <si>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</si>
  <si>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</si>
  <si>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</si>
  <si>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</si>
  <si>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</si>
  <si>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</si>
  <si>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</si>
  <si>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</si>
  <si>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</si>
  <si>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</si>
  <si>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</si>
  <si>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</si>
  <si>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</si>
  <si>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</si>
  <si>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</si>
  <si>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</si>
  <si>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</si>
  <si>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</si>
  <si>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</si>
  <si>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</si>
  <si>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</si>
  <si>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</si>
  <si>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</si>
  <si>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</si>
  <si>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</si>
  <si>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</si>
  <si>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</si>
  <si>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</si>
  <si>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</si>
  <si>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</si>
  <si>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</si>
  <si>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</si>
  <si>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</si>
  <si>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</si>
  <si>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</si>
  <si>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</si>
  <si>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</si>
  <si>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</si>
  <si>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</si>
  <si>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</si>
  <si>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</si>
  <si>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</si>
  <si>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</si>
  <si>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</si>
  <si>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</si>
  <si>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</si>
  <si>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</si>
  <si>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</si>
  <si>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</si>
  <si>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</si>
  <si>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</si>
  <si>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</si>
  <si>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</si>
  <si>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</si>
  <si>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</si>
  <si>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</si>
  <si>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</si>
  <si>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</si>
  <si>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</si>
  <si>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</si>
  <si>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</si>
  <si>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</si>
  <si>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</si>
  <si>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</si>
  <si>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</si>
  <si>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</si>
  <si>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</si>
  <si>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</si>
  <si>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</si>
  <si>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</si>
  <si>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</si>
  <si>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</si>
  <si>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</si>
  <si>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</si>
  <si>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</si>
  <si>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</si>
  <si>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</si>
  <si>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</si>
  <si>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</si>
  <si>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</si>
  <si>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</si>
  <si>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</si>
  <si>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</si>
  <si>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</si>
  <si>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</si>
  <si>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</si>
  <si>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</si>
  <si>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</si>
  <si>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</si>
  <si>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</si>
  <si>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</si>
  <si>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</si>
  <si>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</si>
  <si>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</si>
  <si>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</si>
  <si>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</si>
  <si>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</si>
  <si>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</si>
  <si>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</si>
  <si>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</si>
  <si>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</si>
  <si>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</si>
  <si>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</si>
  <si>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</si>
  <si>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</si>
  <si>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</si>
  <si>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</si>
  <si>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</si>
  <si>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</si>
  <si>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</si>
  <si>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</si>
  <si>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</si>
  <si>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</si>
  <si>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</si>
  <si>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</si>
  <si>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</si>
  <si>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</si>
  <si>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</si>
  <si>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</si>
  <si>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</si>
  <si>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</si>
  <si>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</si>
  <si>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</si>
  <si>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</si>
  <si>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</si>
  <si>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</si>
  <si>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</si>
  <si>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</si>
  <si>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</si>
  <si>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</si>
  <si>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</si>
  <si>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</si>
  <si>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</si>
  <si>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</si>
  <si>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</si>
  <si>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</si>
  <si>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</si>
  <si>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</si>
  <si>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</si>
  <si>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</si>
  <si>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</si>
  <si>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</si>
  <si>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</si>
  <si>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</si>
  <si>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</si>
  <si>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</si>
  <si>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</si>
  <si>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</si>
  <si>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</si>
  <si>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</si>
  <si>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</si>
  <si>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</si>
  <si>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</si>
  <si>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</si>
  <si>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</si>
  <si>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</si>
  <si>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</si>
  <si>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</si>
  <si>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</si>
  <si>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</si>
  <si>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</si>
  <si>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</si>
  <si>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</si>
  <si>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</si>
  <si>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</si>
  <si>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</si>
  <si>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</si>
  <si>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</si>
  <si>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</si>
  <si>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</si>
  <si>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</si>
  <si>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</si>
  <si>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</si>
  <si>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</si>
  <si>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</si>
  <si>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</si>
  <si>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</si>
  <si>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</si>
  <si>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</si>
  <si>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</si>
  <si>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</si>
  <si>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</si>
  <si>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</si>
  <si>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</si>
  <si>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</si>
  <si>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</si>
  <si>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</si>
  <si>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</si>
  <si>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</si>
  <si>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</si>
  <si>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</si>
  <si>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</si>
  <si>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</si>
  <si>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</si>
  <si>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</si>
  <si>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</si>
  <si>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</si>
  <si>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</si>
  <si>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</si>
  <si>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</si>
  <si>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</si>
  <si>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</si>
  <si>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</si>
  <si>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</si>
  <si>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</si>
  <si>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</si>
  <si>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</si>
  <si>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</si>
  <si>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</si>
  <si>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</si>
  <si>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</si>
  <si>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</si>
  <si>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</si>
  <si>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</si>
  <si>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</si>
  <si>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</si>
  <si>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</si>
  <si>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</si>
  <si>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</si>
  <si>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</si>
  <si>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</si>
  <si>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</si>
  <si>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</si>
  <si>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</si>
  <si>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</si>
  <si>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</si>
  <si>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</si>
  <si>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</si>
  <si>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</si>
  <si>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</si>
  <si>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</si>
  <si>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</si>
  <si>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</si>
  <si>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</si>
  <si>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</si>
  <si>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</si>
  <si>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</si>
  <si>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</si>
  <si>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</si>
  <si>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</si>
  <si>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</si>
  <si>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</si>
  <si>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</si>
  <si>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</si>
  <si>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</si>
  <si>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</si>
  <si>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</si>
  <si>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</si>
  <si>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</si>
  <si>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</si>
  <si>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</si>
  <si>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</si>
  <si>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</si>
  <si>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</si>
  <si>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</si>
  <si>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</si>
  <si>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</si>
  <si>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</si>
  <si>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</si>
  <si>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</si>
  <si>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</si>
  <si>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</si>
  <si>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</si>
  <si>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</si>
  <si>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</si>
  <si>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</si>
  <si>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</si>
  <si>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</si>
  <si>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</si>
  <si>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</si>
  <si>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</si>
  <si>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</si>
  <si>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</si>
  <si>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</si>
  <si>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</si>
  <si>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</si>
  <si>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</si>
  <si>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</si>
  <si>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</si>
  <si>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</si>
  <si>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</si>
  <si>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</si>
  <si>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</si>
  <si>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</si>
  <si>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</si>
  <si>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</si>
  <si>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</si>
  <si>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</si>
  <si>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</si>
  <si>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</si>
  <si>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</si>
  <si>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</si>
  <si>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</si>
  <si>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</si>
  <si>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</si>
  <si>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</si>
  <si>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</si>
  <si>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</si>
  <si>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</si>
  <si>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</si>
  <si>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</si>
  <si>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</si>
  <si>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</si>
  <si>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</si>
  <si>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</si>
  <si>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</si>
  <si>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</si>
  <si>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</si>
  <si>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</si>
  <si>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</si>
  <si>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</si>
  <si>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</si>
  <si>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</si>
  <si>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</si>
  <si>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</si>
  <si>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</si>
  <si>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</si>
  <si>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</si>
  <si>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</si>
  <si>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</si>
  <si>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</si>
  <si>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</si>
  <si>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</si>
  <si>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</si>
  <si>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</si>
  <si>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</si>
  <si>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</si>
  <si>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</si>
  <si>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</si>
  <si>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</si>
  <si>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</si>
  <si>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</si>
  <si>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</si>
  <si>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</si>
  <si>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</si>
  <si>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</si>
  <si>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</si>
  <si>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</si>
  <si>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</si>
  <si>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</si>
  <si>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</si>
  <si>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</si>
  <si>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</si>
  <si>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</si>
  <si>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</si>
  <si>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</si>
  <si>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</si>
  <si>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</si>
  <si>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</si>
  <si>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</si>
  <si>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</si>
  <si>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</si>
  <si>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</si>
  <si>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</si>
  <si>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</si>
  <si>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</si>
  <si>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</si>
  <si>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</si>
  <si>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</si>
  <si>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</si>
  <si>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</si>
  <si>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</si>
  <si>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</si>
  <si>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</si>
  <si>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</si>
  <si>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</si>
  <si>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</si>
  <si>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</si>
  <si>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</si>
  <si>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</si>
  <si>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</si>
  <si>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</si>
  <si>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</si>
  <si>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</si>
  <si>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</si>
  <si>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</si>
  <si>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</si>
  <si>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</si>
  <si>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</si>
  <si>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</si>
  <si>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</si>
  <si>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</si>
  <si>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</si>
  <si>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</si>
  <si>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</si>
  <si>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</si>
  <si>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</si>
  <si>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</si>
  <si>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</si>
  <si>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</si>
  <si>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</si>
  <si>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</si>
  <si>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</si>
  <si>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</si>
  <si>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</si>
  <si>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</si>
  <si>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</si>
  <si>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</si>
  <si>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</si>
  <si>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</si>
  <si>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</si>
  <si>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</si>
  <si>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</si>
  <si>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</si>
  <si>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</si>
  <si>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</si>
  <si>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</si>
  <si>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</si>
  <si>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</si>
  <si>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</si>
  <si>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</si>
  <si>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</si>
  <si>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</si>
  <si>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</si>
  <si>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</si>
  <si>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</si>
  <si>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</si>
  <si>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</si>
  <si>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</si>
  <si>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</si>
  <si>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</si>
  <si>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</si>
  <si>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</si>
  <si>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</si>
  <si>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</si>
  <si>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</si>
  <si>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</si>
  <si>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</si>
  <si>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</si>
  <si>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</si>
  <si>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</si>
  <si>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</si>
  <si>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</si>
  <si>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</si>
  <si>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</si>
  <si>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</si>
  <si>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</si>
  <si>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</si>
  <si>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</si>
  <si>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</si>
  <si>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</si>
  <si>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</si>
  <si>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</si>
  <si>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</si>
  <si>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</si>
  <si>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</si>
  <si>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</si>
  <si>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</si>
  <si>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</si>
  <si>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</si>
  <si>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</si>
  <si>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</si>
  <si>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</si>
  <si>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</si>
  <si>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</si>
  <si>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</si>
  <si>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</si>
  <si>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</si>
  <si>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</si>
  <si>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</si>
  <si>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</si>
  <si>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</si>
  <si>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</si>
  <si>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</si>
  <si>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</si>
  <si>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</si>
  <si>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</si>
  <si>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</si>
  <si>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</si>
  <si>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</si>
  <si>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</si>
  <si>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</si>
  <si>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</si>
  <si>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</si>
  <si>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</si>
  <si>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</si>
  <si>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</si>
  <si>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</si>
  <si>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</si>
  <si>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</si>
  <si>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</si>
  <si>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</si>
  <si>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</si>
  <si>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</si>
  <si>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</si>
  <si>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</si>
  <si>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</si>
  <si>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</si>
  <si>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</si>
  <si>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</si>
  <si>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</si>
  <si>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</si>
  <si>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</si>
  <si>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</si>
  <si>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</si>
  <si>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</si>
  <si>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</si>
  <si>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</si>
  <si>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</si>
  <si>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</si>
  <si>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</si>
  <si>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</si>
  <si>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</si>
  <si>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</si>
  <si>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</si>
  <si>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</si>
  <si>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</si>
  <si>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</si>
  <si>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</si>
  <si>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</si>
  <si>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</si>
  <si>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</si>
  <si>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</si>
  <si>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</si>
  <si>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</si>
  <si>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</si>
  <si>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</si>
  <si>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</si>
  <si>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</si>
  <si>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</si>
  <si>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</si>
  <si>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</si>
  <si>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</si>
  <si>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</si>
  <si>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</si>
  <si>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</si>
  <si>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</si>
  <si>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</si>
  <si>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</si>
  <si>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</si>
  <si>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</si>
  <si>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</si>
  <si>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</si>
  <si>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</si>
  <si>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</si>
  <si>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</si>
  <si>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</si>
  <si>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</si>
  <si>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</si>
  <si>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</si>
  <si>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</si>
  <si>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</si>
  <si>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</si>
  <si>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</si>
  <si>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</si>
  <si>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</si>
  <si>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</si>
  <si>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</si>
  <si>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</si>
  <si>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</si>
  <si>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</si>
  <si>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</si>
  <si>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</si>
  <si>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</si>
  <si>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</si>
  <si>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</si>
  <si>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</si>
  <si>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</si>
  <si>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</si>
  <si>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</si>
  <si>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</si>
  <si>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</si>
  <si>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</si>
  <si>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</si>
  <si>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</si>
  <si>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</si>
  <si>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</si>
  <si>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</si>
  <si>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</si>
  <si>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</si>
  <si>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</si>
  <si>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</si>
  <si>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</si>
  <si>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</si>
  <si>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</si>
  <si>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</si>
  <si>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</si>
  <si>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</si>
  <si>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</si>
  <si>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</si>
  <si>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</si>
  <si>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</si>
  <si>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</si>
  <si>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</si>
  <si>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</si>
  <si>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</si>
  <si>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</si>
  <si>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</si>
  <si>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</si>
  <si>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</si>
  <si>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</si>
  <si>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</si>
  <si>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</si>
  <si>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</si>
  <si>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</si>
  <si>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</si>
  <si>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</si>
  <si>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</si>
  <si>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</si>
  <si>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</si>
  <si>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</si>
  <si>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</si>
  <si>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</si>
  <si>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</si>
  <si>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</si>
  <si>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</si>
  <si>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</si>
  <si>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</si>
  <si>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</si>
  <si>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</si>
  <si>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</si>
  <si>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</si>
  <si>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</si>
  <si>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</si>
  <si>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</si>
  <si>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</si>
  <si>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</si>
  <si>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</si>
  <si>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</si>
  <si>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</si>
  <si>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</si>
  <si>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</si>
  <si>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</si>
  <si>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</si>
  <si>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</si>
  <si>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</si>
  <si>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</si>
  <si>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</si>
  <si>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</si>
  <si>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</si>
  <si>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</si>
  <si>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</si>
  <si>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</si>
  <si>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</si>
  <si>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</si>
  <si>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</si>
  <si>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</si>
  <si>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</si>
  <si>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</si>
  <si>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</si>
  <si>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</si>
  <si>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</si>
  <si>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</si>
  <si>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</si>
  <si>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</si>
  <si>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</si>
  <si>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</si>
  <si>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</si>
  <si>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</si>
  <si>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</si>
  <si>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</si>
  <si>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</si>
  <si>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</si>
  <si>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</si>
  <si>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</si>
  <si>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</si>
  <si>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</si>
  <si>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</si>
  <si>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</si>
  <si>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</si>
  <si>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</si>
  <si>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</si>
  <si>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</si>
  <si>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</si>
  <si>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</si>
  <si>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</si>
  <si>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</si>
  <si>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</si>
  <si>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</si>
  <si>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</si>
  <si>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</si>
  <si>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</si>
  <si>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</si>
  <si>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</si>
  <si>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</si>
  <si>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</si>
  <si>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</si>
  <si>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</si>
  <si>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</si>
  <si>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</si>
  <si>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</si>
  <si>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</si>
  <si>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</si>
  <si>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</si>
  <si>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</si>
  <si>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</si>
  <si>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</si>
  <si>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</si>
  <si>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</si>
  <si>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</si>
  <si>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</si>
  <si>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</si>
  <si>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</si>
  <si>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</si>
  <si>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</si>
  <si>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</si>
  <si>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</si>
  <si>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</si>
  <si>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</si>
  <si>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</si>
  <si>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</si>
  <si>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</si>
  <si>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</si>
  <si>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</si>
  <si>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</si>
  <si>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</si>
  <si>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</si>
  <si>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</si>
  <si>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</si>
  <si>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</si>
  <si>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</si>
  <si>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</si>
  <si>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</si>
  <si>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</si>
  <si>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</si>
  <si>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</si>
  <si>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</si>
  <si>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</si>
  <si>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</si>
  <si>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</si>
  <si>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</si>
  <si>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</si>
  <si>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</si>
  <si>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</si>
  <si>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</si>
  <si>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</si>
  <si>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</si>
  <si>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</si>
  <si>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</si>
  <si>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</si>
  <si>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</si>
  <si>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</si>
  <si>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</si>
  <si>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</si>
  <si>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</si>
  <si>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</si>
  <si>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</si>
  <si>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</si>
  <si>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</si>
  <si>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</si>
  <si>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</si>
  <si>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</si>
  <si>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</si>
  <si>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</si>
  <si>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</si>
  <si>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</si>
  <si>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</si>
  <si>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</si>
  <si>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</si>
  <si>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</si>
  <si>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</si>
  <si>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</si>
  <si>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</si>
  <si>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</si>
  <si>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</si>
  <si>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</si>
  <si>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</si>
  <si>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</si>
  <si>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</si>
  <si>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</si>
  <si>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</si>
  <si>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</si>
  <si>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</si>
  <si>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</si>
  <si>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</si>
  <si>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</si>
  <si>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</si>
  <si>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</si>
  <si>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</si>
  <si>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</si>
  <si>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</si>
  <si>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</si>
  <si>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</si>
  <si>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</si>
  <si>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</si>
  <si>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</si>
  <si>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</si>
  <si>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</si>
  <si>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</si>
  <si>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</si>
  <si>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</si>
  <si>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</si>
  <si>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</si>
  <si>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</si>
  <si>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</si>
  <si>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</si>
  <si>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</si>
  <si>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</si>
  <si>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</si>
  <si>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</si>
  <si>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</si>
  <si>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</si>
  <si>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</si>
  <si>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</si>
  <si>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</si>
  <si>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</si>
  <si>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</si>
  <si>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</si>
  <si>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</si>
  <si>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</si>
  <si>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</si>
  <si>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</si>
  <si>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</si>
  <si>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</si>
  <si>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</si>
  <si>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</si>
  <si>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</si>
  <si>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</si>
  <si>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</si>
  <si>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</si>
  <si>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</si>
  <si>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</si>
  <si>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</si>
  <si>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</si>
  <si>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</si>
  <si>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</si>
  <si>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</si>
  <si>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</si>
  <si>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</si>
  <si>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</si>
  <si>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</si>
  <si>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</si>
  <si>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</si>
  <si>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</si>
  <si>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</si>
  <si>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</si>
  <si>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</si>
  <si>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</si>
  <si>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</si>
  <si>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</si>
  <si>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</si>
  <si>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</si>
  <si>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</si>
  <si>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</si>
  <si>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</si>
  <si>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</si>
  <si>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</si>
  <si>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</si>
  <si>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</si>
  <si>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</si>
  <si>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</si>
  <si>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</si>
  <si>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</si>
  <si>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</si>
  <si>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</si>
  <si>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</si>
  <si>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</si>
  <si>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</si>
  <si>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</si>
  <si>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</si>
  <si>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</si>
  <si>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</si>
  <si>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</si>
  <si>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</si>
  <si>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</si>
  <si>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</si>
  <si>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</si>
  <si>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</si>
  <si>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</si>
  <si>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</si>
  <si>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</si>
  <si>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</si>
  <si>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</si>
  <si>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</si>
  <si>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</si>
  <si>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</si>
  <si>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</si>
  <si>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</si>
  <si>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</si>
  <si>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</si>
  <si>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</si>
  <si>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</si>
  <si>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</si>
  <si>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</si>
  <si>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</si>
  <si>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</si>
  <si>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</si>
  <si>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</si>
  <si>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</si>
  <si>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</si>
  <si>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</si>
  <si>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</si>
  <si>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</si>
  <si>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</si>
  <si>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</si>
  <si>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</si>
  <si>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</si>
  <si>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</si>
  <si>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</si>
  <si>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</si>
  <si>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</si>
  <si>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</si>
  <si>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</si>
  <si>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</si>
  <si>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</si>
  <si>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</si>
  <si>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</si>
  <si>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</si>
  <si>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</si>
  <si>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</si>
  <si>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</si>
  <si>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</si>
  <si>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</si>
  <si>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</si>
  <si>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</si>
  <si>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</si>
  <si>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</si>
  <si>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</si>
  <si>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</si>
  <si>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</si>
  <si>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</si>
  <si>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</si>
  <si>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</si>
  <si>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</si>
  <si>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</si>
  <si>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</si>
  <si>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</si>
  <si>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</si>
  <si>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</si>
  <si>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</si>
  <si>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</si>
  <si>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</si>
  <si>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</si>
  <si>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</si>
  <si>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</si>
  <si>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</si>
  <si>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</si>
  <si>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</si>
  <si>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</si>
  <si>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</si>
  <si>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</si>
  <si>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</si>
  <si>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</si>
  <si>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</si>
  <si>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</si>
  <si>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</si>
  <si>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</si>
  <si>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</si>
  <si>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</si>
  <si>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</si>
  <si>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</si>
  <si>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</si>
  <si>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</si>
  <si>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</si>
  <si>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</si>
  <si>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</si>
  <si>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</si>
  <si>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</si>
  <si>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</si>
  <si>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</si>
  <si>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</si>
  <si>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</si>
  <si>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</si>
  <si>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</si>
  <si>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</si>
  <si>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</si>
  <si>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</si>
  <si>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</si>
  <si>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</si>
  <si>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</si>
  <si>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</si>
  <si>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</si>
  <si>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</si>
  <si>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</si>
  <si>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</si>
  <si>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</si>
  <si>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</si>
  <si>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</si>
  <si>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</si>
  <si>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</si>
  <si>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</si>
  <si>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</si>
  <si>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</si>
  <si>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</si>
  <si>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</si>
  <si>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</si>
  <si>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</si>
  <si>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</si>
  <si>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</si>
  <si>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</si>
  <si>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</si>
  <si>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</si>
  <si>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</si>
  <si>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</si>
  <si>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</si>
  <si>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</si>
  <si>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</si>
  <si>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</si>
  <si>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</si>
  <si>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</si>
  <si>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</si>
  <si>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</si>
  <si>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</si>
  <si>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</si>
  <si>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</si>
  <si>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</si>
  <si>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</si>
  <si>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</si>
  <si>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</si>
  <si>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</si>
  <si>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</si>
  <si>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</si>
  <si>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</si>
  <si>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</si>
  <si>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</si>
  <si>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</si>
  <si>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</si>
  <si>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</si>
  <si>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</si>
  <si>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</si>
  <si>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</si>
  <si>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</si>
  <si>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</si>
  <si>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</si>
  <si>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</si>
  <si>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</si>
  <si>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</si>
  <si>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</si>
  <si>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</si>
  <si>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</si>
  <si>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</si>
  <si>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</si>
  <si>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</si>
  <si>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</si>
  <si>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</si>
  <si>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</si>
  <si>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</si>
  <si>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</si>
  <si>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</si>
  <si>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</si>
  <si>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</si>
  <si>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</si>
  <si>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</si>
  <si>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</si>
  <si>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</si>
  <si>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</si>
  <si>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</si>
  <si>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</si>
  <si>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</si>
  <si>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</si>
  <si>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</si>
  <si>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</si>
  <si>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</si>
  <si>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</si>
  <si>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</si>
  <si>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</si>
  <si>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</si>
  <si>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</si>
  <si>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</si>
  <si>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</si>
  <si>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</si>
  <si>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</si>
  <si>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</si>
  <si>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</si>
  <si>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</si>
  <si>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</si>
  <si>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</si>
  <si>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</si>
  <si>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</si>
  <si>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</si>
  <si>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</si>
  <si>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</si>
  <si>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</si>
  <si>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</si>
  <si>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</si>
  <si>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</si>
  <si>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</si>
  <si>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</si>
  <si>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</si>
  <si>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</si>
  <si>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</si>
  <si>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</si>
  <si>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</si>
  <si>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</si>
  <si>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</si>
  <si>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</si>
  <si>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</si>
  <si>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</si>
  <si>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</si>
  <si>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</si>
  <si>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</si>
  <si>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</si>
  <si>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</si>
  <si>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</si>
  <si>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</si>
  <si>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</si>
  <si>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</si>
  <si>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</si>
  <si>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</si>
  <si>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</si>
  <si>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</si>
  <si>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</si>
  <si>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</si>
  <si>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</si>
  <si>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</si>
  <si>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</si>
  <si>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</si>
  <si>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</si>
  <si>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</si>
  <si>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</si>
  <si>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</si>
  <si>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</si>
  <si>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</si>
  <si>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</si>
  <si>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</si>
  <si>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</si>
  <si>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</si>
  <si>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</si>
  <si>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</si>
  <si>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</si>
  <si>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</si>
  <si>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</si>
  <si>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</si>
  <si>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</si>
  <si>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</si>
  <si>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</si>
  <si>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</si>
  <si>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</si>
  <si>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</si>
  <si>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</si>
  <si>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</si>
  <si>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</si>
  <si>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</si>
  <si>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</si>
  <si>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</si>
  <si>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</si>
  <si>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</si>
  <si>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</si>
  <si>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</si>
  <si>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</si>
  <si>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</si>
  <si>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</si>
  <si>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</si>
  <si>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</si>
  <si>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</si>
  <si>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</si>
  <si>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</si>
  <si>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</si>
  <si>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</si>
  <si>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</si>
  <si>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</si>
  <si>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</si>
  <si>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</si>
  <si>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</si>
  <si>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</si>
  <si>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</si>
  <si>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</si>
  <si>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</si>
  <si>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</si>
  <si>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</si>
  <si>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</si>
  <si>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</si>
  <si>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</si>
  <si>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</si>
  <si>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</si>
  <si>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</si>
  <si>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</si>
  <si>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</si>
  <si>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</si>
  <si>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</si>
  <si>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</si>
  <si>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</si>
  <si>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</si>
  <si>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</si>
  <si>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</si>
  <si>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</si>
  <si>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</si>
  <si>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</si>
  <si>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</si>
  <si>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</si>
  <si>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</si>
  <si>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</si>
  <si>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</si>
  <si>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</si>
  <si>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</si>
  <si>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</si>
  <si>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</si>
  <si>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</si>
  <si>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</si>
  <si>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</si>
  <si>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</si>
  <si>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</si>
  <si>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</si>
  <si>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</si>
  <si>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</si>
  <si>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</si>
  <si>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</si>
  <si>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</si>
  <si>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</si>
  <si>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</si>
  <si>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</si>
  <si>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</si>
  <si>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</si>
  <si>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</si>
  <si>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</si>
  <si>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</si>
  <si>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</si>
  <si>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</si>
  <si>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</si>
  <si>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</si>
  <si>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</si>
  <si>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</si>
  <si>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</si>
  <si>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</si>
  <si>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</si>
  <si>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</si>
  <si>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</si>
  <si>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</si>
  <si>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</si>
  <si>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</si>
  <si>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</si>
  <si>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</si>
  <si>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</si>
  <si>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</si>
  <si>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</si>
  <si>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</si>
  <si>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</si>
  <si>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</si>
  <si>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</si>
  <si>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</si>
  <si>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</si>
  <si>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</si>
  <si>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</si>
  <si>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</si>
  <si>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</si>
  <si>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</si>
  <si>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</si>
  <si>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</si>
  <si>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</si>
  <si>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</si>
  <si>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</si>
  <si>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</si>
  <si>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</si>
  <si>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</si>
  <si>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</si>
  <si>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</si>
  <si>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</si>
  <si>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</si>
  <si>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</si>
  <si>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</si>
  <si>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</si>
  <si>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</si>
  <si>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</si>
  <si>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</si>
  <si>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</si>
  <si>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</si>
  <si>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</si>
  <si>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</si>
  <si>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</si>
  <si>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</si>
  <si>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</si>
  <si>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</si>
  <si>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</si>
  <si>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</si>
  <si>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</si>
  <si>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</si>
  <si>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</si>
  <si>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</si>
  <si>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</si>
  <si>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</si>
  <si>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</si>
  <si>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</si>
  <si>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</si>
  <si>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</si>
  <si>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</si>
  <si>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</si>
  <si>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</si>
  <si>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</si>
  <si>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</si>
  <si>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</si>
  <si>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</si>
  <si>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</si>
  <si>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</si>
  <si>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</si>
  <si>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</si>
  <si>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</si>
  <si>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</si>
  <si>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</si>
  <si>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</si>
  <si>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</si>
  <si>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</si>
  <si>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</si>
  <si>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</si>
  <si>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</si>
  <si>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</si>
  <si>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</si>
  <si>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</si>
  <si>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</si>
  <si>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</si>
  <si>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</si>
  <si>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</si>
  <si>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</si>
  <si>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</si>
  <si>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</si>
  <si>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</si>
  <si>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</si>
  <si>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</si>
  <si>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</si>
  <si>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</si>
  <si>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</si>
  <si>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</si>
  <si>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</si>
  <si>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</si>
  <si>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</si>
  <si>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</si>
  <si>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</si>
  <si>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</si>
  <si>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</si>
  <si>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</si>
  <si>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</si>
  <si>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</si>
  <si>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</si>
  <si>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</si>
  <si>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</si>
  <si>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</si>
  <si>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</si>
  <si>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</si>
  <si>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</si>
  <si>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</si>
  <si>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</si>
  <si>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</si>
  <si>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</si>
  <si>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</si>
  <si>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</si>
  <si>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</si>
  <si>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</si>
  <si>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</si>
  <si>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</si>
  <si>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</si>
  <si>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</si>
  <si>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</si>
  <si>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</si>
  <si>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</si>
  <si>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</si>
  <si>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</si>
  <si>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</si>
  <si>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</si>
  <si>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</si>
  <si>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</si>
  <si>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</si>
  <si>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</si>
  <si>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</si>
  <si>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</si>
  <si>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</si>
  <si>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</si>
  <si>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</si>
  <si>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</si>
  <si>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</si>
  <si>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</si>
  <si>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</si>
  <si>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</si>
  <si>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</si>
  <si>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</si>
  <si>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</si>
  <si>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</si>
  <si>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</si>
  <si>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</si>
  <si>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</si>
  <si>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</si>
  <si>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</si>
  <si>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</si>
  <si>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</si>
  <si>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</si>
  <si>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</si>
  <si>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</si>
  <si>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</si>
  <si>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</si>
  <si>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</si>
  <si>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</si>
  <si>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</si>
  <si>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</si>
  <si>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</si>
  <si>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</si>
  <si>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</si>
  <si>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</si>
  <si>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</si>
  <si>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</si>
  <si>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</si>
  <si>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</si>
  <si>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</si>
  <si>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</si>
  <si>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</si>
  <si>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</si>
  <si>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</si>
  <si>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</si>
  <si>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</si>
  <si>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</si>
  <si>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</si>
  <si>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</si>
  <si>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</si>
  <si>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</si>
  <si>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</si>
  <si>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</si>
  <si>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</si>
  <si>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</si>
  <si>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</si>
  <si>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</si>
  <si>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</si>
  <si>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</si>
  <si>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</si>
  <si>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</si>
  <si>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</si>
  <si>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</si>
  <si>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</si>
  <si>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</si>
  <si>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</si>
  <si>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</si>
  <si>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</si>
  <si>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</si>
  <si>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</si>
  <si>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</si>
  <si>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</si>
  <si>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</si>
  <si>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</si>
  <si>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</si>
  <si>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</si>
  <si>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</si>
  <si>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</si>
  <si>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</si>
  <si>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</si>
  <si>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</si>
  <si>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</si>
  <si>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</si>
  <si>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</si>
  <si>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</si>
  <si>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</si>
  <si>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</si>
  <si>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</si>
  <si>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</si>
  <si>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</si>
  <si>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</si>
  <si>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</si>
  <si>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</si>
  <si>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</si>
  <si>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</si>
  <si>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</si>
  <si>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</si>
  <si>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</si>
  <si>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</si>
  <si>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</si>
  <si>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</si>
  <si>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</si>
  <si>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</si>
  <si>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</si>
  <si>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</si>
  <si>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</si>
  <si>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</si>
  <si>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</si>
  <si>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</si>
  <si>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</si>
  <si>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</si>
  <si>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</si>
  <si>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</si>
  <si>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</si>
  <si>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</si>
  <si>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</si>
  <si>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</si>
  <si>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</si>
  <si>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</si>
  <si>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</si>
  <si>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</si>
  <si>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</si>
  <si>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</si>
  <si>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</si>
  <si>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</si>
  <si>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</si>
  <si>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</si>
  <si>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</si>
  <si>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</si>
  <si>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</si>
  <si>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</si>
  <si>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</si>
  <si>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</si>
  <si>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</si>
  <si>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</si>
  <si>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</si>
  <si>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</si>
  <si>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</si>
  <si>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</si>
  <si>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</si>
  <si>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</si>
  <si>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</si>
  <si>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</si>
  <si>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</si>
  <si>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</si>
  <si>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</si>
  <si>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</si>
  <si>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</si>
  <si>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</si>
  <si>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</si>
  <si>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</si>
  <si>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</si>
  <si>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</si>
  <si>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</si>
  <si>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</si>
  <si>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</si>
  <si>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</si>
  <si>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</si>
  <si>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</si>
  <si>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</si>
  <si>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</si>
  <si>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</si>
  <si>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</si>
  <si>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</si>
  <si>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</si>
  <si>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</si>
  <si>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</si>
  <si>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</si>
  <si>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</si>
  <si>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</si>
  <si>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</si>
  <si>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</si>
  <si>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</si>
  <si>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</si>
  <si>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</si>
  <si>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</si>
  <si>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</si>
  <si>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</si>
  <si>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</si>
  <si>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</si>
  <si>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</si>
  <si>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</si>
  <si>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</si>
  <si>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</si>
  <si>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</si>
  <si>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</si>
  <si>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</si>
  <si>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</si>
  <si>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</si>
  <si>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</si>
  <si>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</si>
  <si>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</si>
  <si>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</si>
  <si>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</si>
  <si>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</si>
  <si>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</si>
  <si>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</si>
  <si>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</si>
  <si>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</si>
  <si>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</si>
  <si>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</si>
  <si>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</si>
  <si>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</si>
  <si>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</si>
  <si>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</si>
  <si>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</si>
  <si>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</si>
  <si>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</si>
  <si>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</si>
  <si>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</si>
  <si>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</si>
  <si>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</si>
  <si>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</si>
  <si>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</si>
  <si>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</si>
  <si>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</si>
  <si>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</si>
  <si>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</si>
  <si>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</si>
  <si>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</si>
  <si>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</si>
  <si>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</si>
  <si>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</si>
  <si>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</si>
  <si>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</si>
  <si>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</si>
  <si>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</si>
  <si>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</si>
  <si>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</si>
  <si>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</si>
  <si>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</si>
  <si>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</si>
  <si>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</si>
  <si>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</si>
  <si>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</si>
  <si>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</si>
  <si>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</si>
  <si>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</si>
  <si>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</si>
  <si>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</si>
  <si>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</si>
  <si>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</si>
  <si>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</si>
  <si>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</si>
  <si>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</si>
  <si>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</si>
  <si>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</si>
  <si>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</si>
  <si>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</si>
  <si>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</si>
  <si>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</si>
  <si>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</si>
  <si>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</si>
  <si>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</si>
  <si>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</si>
  <si>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</si>
  <si>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</si>
  <si>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</si>
  <si>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</si>
  <si>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</si>
  <si>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</si>
  <si>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</si>
  <si>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</si>
  <si>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</si>
  <si>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</si>
  <si>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</si>
  <si>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</si>
  <si>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</si>
  <si>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</si>
  <si>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</si>
  <si>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</si>
  <si>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</si>
  <si>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</si>
  <si>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</si>
  <si>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</si>
  <si>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</si>
  <si>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</si>
  <si>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</si>
  <si>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</si>
  <si>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</si>
  <si>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</si>
  <si>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</si>
  <si>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</si>
  <si>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</si>
  <si>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</si>
  <si>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</si>
  <si>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</si>
  <si>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</si>
  <si>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</si>
  <si>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</si>
  <si>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</si>
  <si>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</si>
  <si>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</si>
  <si>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</si>
  <si>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</si>
  <si>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</si>
  <si>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</si>
  <si>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</si>
  <si>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</si>
  <si>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</si>
  <si>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</si>
  <si>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</si>
  <si>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</si>
  <si>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</si>
  <si>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</si>
  <si>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</si>
  <si>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</si>
  <si>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</si>
  <si>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</si>
  <si>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</si>
  <si>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</si>
  <si>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</si>
  <si>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</si>
  <si>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</si>
  <si>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</si>
  <si>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</si>
  <si>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</si>
  <si>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</si>
  <si>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</si>
  <si>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</si>
  <si>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</si>
  <si>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</si>
  <si>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</si>
  <si>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</si>
  <si>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</si>
  <si>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</si>
  <si>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</si>
  <si>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</si>
  <si>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</si>
  <si>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</si>
  <si>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</si>
  <si>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</si>
  <si>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</si>
  <si>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</si>
  <si>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</si>
  <si>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</si>
  <si>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</si>
  <si>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</si>
  <si>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</si>
  <si>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</si>
  <si>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</si>
  <si>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</si>
  <si>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</si>
  <si>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</si>
  <si>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</si>
  <si>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</si>
  <si>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</si>
  <si>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</si>
  <si>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</si>
  <si>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</si>
  <si>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</si>
  <si>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</si>
  <si>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</si>
  <si>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</si>
  <si>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</si>
  <si>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</si>
  <si>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</si>
  <si>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</si>
  <si>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</si>
  <si>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</si>
  <si>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</si>
  <si>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</si>
  <si>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</si>
  <si>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</si>
  <si>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</si>
  <si>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</si>
  <si>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</si>
  <si>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</si>
  <si>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</si>
  <si>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</si>
  <si>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</si>
  <si>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</si>
  <si>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</si>
  <si>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</si>
  <si>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</si>
  <si>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</si>
  <si>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</si>
  <si>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</si>
  <si>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</si>
  <si>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</si>
  <si>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</si>
  <si>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</si>
  <si>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</si>
  <si>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</si>
  <si>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</si>
  <si>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</si>
  <si>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</si>
  <si>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</si>
  <si>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</si>
  <si>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</si>
  <si>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</si>
  <si>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</si>
  <si>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</si>
  <si>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</si>
  <si>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</si>
  <si>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</si>
  <si>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</si>
  <si>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</si>
  <si>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</si>
  <si>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</si>
  <si>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</si>
  <si>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</si>
  <si>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</si>
  <si>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</si>
  <si>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</si>
  <si>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</si>
  <si>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</si>
  <si>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</si>
  <si>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</si>
  <si>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</si>
  <si>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</si>
  <si>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</si>
  <si>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</si>
  <si>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</si>
  <si>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</si>
  <si>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</si>
  <si>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</si>
  <si>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</si>
  <si>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</si>
  <si>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</si>
  <si>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</si>
  <si>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</si>
  <si>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</si>
  <si>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</si>
  <si>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</si>
  <si>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</si>
  <si>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</si>
  <si>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</si>
  <si>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</si>
  <si>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</si>
  <si>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</si>
  <si>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</si>
  <si>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</si>
  <si>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</si>
  <si>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</si>
  <si>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</si>
  <si>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</si>
  <si>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</si>
  <si>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</si>
  <si>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</si>
  <si>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</si>
  <si>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</si>
  <si>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</si>
  <si>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</si>
  <si>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</si>
  <si>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</si>
  <si>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</si>
  <si>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</si>
  <si>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</si>
  <si>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</si>
  <si>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</si>
  <si>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</si>
  <si>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</si>
  <si>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</si>
  <si>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</si>
  <si>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</si>
  <si>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</si>
  <si>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</si>
  <si>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</si>
  <si>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</si>
  <si>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</si>
  <si>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</si>
  <si>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</si>
  <si>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</si>
  <si>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</si>
  <si>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</si>
  <si>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</si>
  <si>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</si>
  <si>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</si>
  <si>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</si>
  <si>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</si>
  <si>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</si>
  <si>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</si>
  <si>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</si>
  <si>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</si>
  <si>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</si>
  <si>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</si>
  <si>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</si>
  <si>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</si>
  <si>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</si>
  <si>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</si>
  <si>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</si>
  <si>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</si>
  <si>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</si>
  <si>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</si>
  <si>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</si>
  <si>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</si>
  <si>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</si>
  <si>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</si>
  <si>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</si>
  <si>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</si>
  <si>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</si>
  <si>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</si>
  <si>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</si>
  <si>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</si>
  <si>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</si>
  <si>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</si>
  <si>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</si>
  <si>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</si>
  <si>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</si>
  <si>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</si>
  <si>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</si>
  <si>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</si>
  <si>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</si>
  <si>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</si>
  <si>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</si>
  <si>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</si>
  <si>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</si>
  <si>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</si>
  <si>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</si>
  <si>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</si>
  <si>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</si>
  <si>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</si>
  <si>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</si>
  <si>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</si>
  <si>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</si>
  <si>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</si>
  <si>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</si>
  <si>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</si>
  <si>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</si>
  <si>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</si>
  <si>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</si>
  <si>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</si>
  <si>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</si>
  <si>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</si>
  <si>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</si>
  <si>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</si>
  <si>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</si>
  <si>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</si>
  <si>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</si>
  <si>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</si>
  <si>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</si>
  <si>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</si>
  <si>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</si>
  <si>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</si>
  <si>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</si>
  <si>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</si>
  <si>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</si>
  <si>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</si>
  <si>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</si>
  <si>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</si>
  <si>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</si>
  <si>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</si>
  <si>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</si>
  <si>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</si>
  <si>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</si>
  <si>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</si>
  <si>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</si>
  <si>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</si>
  <si>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</si>
  <si>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</si>
  <si>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</si>
  <si>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</si>
  <si>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</si>
  <si>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</si>
  <si>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</si>
  <si>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</si>
  <si>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</si>
  <si>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</si>
  <si>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</si>
  <si>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</si>
  <si>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</si>
  <si>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</si>
  <si>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</si>
  <si>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</si>
  <si>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</si>
  <si>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</si>
  <si>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</si>
  <si>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</si>
  <si>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</si>
  <si>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</si>
  <si>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</si>
  <si>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</si>
  <si>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</si>
  <si>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</si>
  <si>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</si>
  <si>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</si>
  <si>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</si>
  <si>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</si>
  <si>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</si>
  <si>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</si>
  <si>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</si>
  <si>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</si>
  <si>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</si>
  <si>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</si>
  <si>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</si>
  <si>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</si>
  <si>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</si>
  <si>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</si>
  <si>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</si>
  <si>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</si>
  <si>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</si>
  <si>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</si>
  <si>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</si>
  <si>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</si>
  <si>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</si>
  <si>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</si>
  <si>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</si>
  <si>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</si>
  <si>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</si>
  <si>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</si>
  <si>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</si>
  <si>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</si>
  <si>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</si>
  <si>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</si>
  <si>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</si>
  <si>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</si>
  <si>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</si>
  <si>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</si>
  <si>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</si>
  <si>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</si>
  <si>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</si>
  <si>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</si>
  <si>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</si>
  <si>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</si>
  <si>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</si>
  <si>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</si>
  <si>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</si>
  <si>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</si>
  <si>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</si>
  <si>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</si>
  <si>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</si>
  <si>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</si>
  <si>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</si>
  <si>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</si>
  <si>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</si>
  <si>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</si>
  <si>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</si>
  <si>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</si>
  <si>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</si>
  <si>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</si>
  <si>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</si>
  <si>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</si>
  <si>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</si>
  <si>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</si>
  <si>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</si>
  <si>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</si>
  <si>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</si>
  <si>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</si>
  <si>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</si>
  <si>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</si>
  <si>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</si>
  <si>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</si>
  <si>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</si>
  <si>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</si>
  <si>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</si>
  <si>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</si>
  <si>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</si>
  <si>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</si>
  <si>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</si>
  <si>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</si>
  <si>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</si>
  <si>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</si>
  <si>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</si>
  <si>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</si>
  <si>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</si>
  <si>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</si>
  <si>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</si>
  <si>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</si>
  <si>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</si>
  <si>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</si>
  <si>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</si>
  <si>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</si>
  <si>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</si>
  <si>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</si>
  <si>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</si>
  <si>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</si>
  <si>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</si>
  <si>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</si>
  <si>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</si>
  <si>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</si>
  <si>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</si>
  <si>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</si>
  <si>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</si>
  <si>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</si>
  <si>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</si>
  <si>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</si>
  <si>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</si>
  <si>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</si>
  <si>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</si>
  <si>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</si>
  <si>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</si>
  <si>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</si>
  <si>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</si>
  <si>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</si>
  <si>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</si>
  <si>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</si>
  <si>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</si>
  <si>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</si>
  <si>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</si>
  <si>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</si>
  <si>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</si>
  <si>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</si>
  <si>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</si>
  <si>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</si>
  <si>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</si>
  <si>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</si>
  <si>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</si>
  <si>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</si>
  <si>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</si>
  <si>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</si>
  <si>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</si>
  <si>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</si>
  <si>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</si>
  <si>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</si>
  <si>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</si>
  <si>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</si>
  <si>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</si>
  <si>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</si>
  <si>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</si>
  <si>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</si>
  <si>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</si>
  <si>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</si>
  <si>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</si>
  <si>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</si>
  <si>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</si>
  <si>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</si>
  <si>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</si>
  <si>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</si>
  <si>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</si>
  <si>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</si>
  <si>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</si>
  <si>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</si>
  <si>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</si>
  <si>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</si>
  <si>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</si>
  <si>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</si>
  <si>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</si>
  <si>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</si>
  <si>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</si>
  <si>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</si>
  <si>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</si>
  <si>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</si>
  <si>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</si>
  <si>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</si>
  <si>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</si>
  <si>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</si>
  <si>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</si>
  <si>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</si>
  <si>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</si>
  <si>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</si>
  <si>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</si>
  <si>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</si>
  <si>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</si>
  <si>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</si>
  <si>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</si>
  <si>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</si>
  <si>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</si>
  <si>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</si>
  <si>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</si>
  <si>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</si>
  <si>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</si>
  <si>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</si>
  <si>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</si>
  <si>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</si>
  <si>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</si>
  <si>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</si>
  <si>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</si>
  <si>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</si>
  <si>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</si>
  <si>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</si>
  <si>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</si>
  <si>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</si>
  <si>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</si>
  <si>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</si>
  <si>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</si>
  <si>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</si>
  <si>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</si>
  <si>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</si>
  <si>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</si>
  <si>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</si>
  <si>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</si>
  <si>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</si>
  <si>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</si>
  <si>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</si>
  <si>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</si>
  <si>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</si>
  <si>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</si>
  <si>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</si>
  <si>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</si>
  <si>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</si>
  <si>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</si>
  <si>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</si>
  <si>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</si>
  <si>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</si>
  <si>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</si>
  <si>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</si>
  <si>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</si>
  <si>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</si>
  <si>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</si>
  <si>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</si>
  <si>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</si>
  <si>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</si>
  <si>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</si>
  <si>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</si>
  <si>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</si>
  <si>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</si>
  <si>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</si>
  <si>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</si>
  <si>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</si>
  <si>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</si>
  <si>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</si>
  <si>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</si>
  <si>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</si>
  <si>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</si>
  <si>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</si>
  <si>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</si>
  <si>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</si>
  <si>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</si>
  <si>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</si>
  <si>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</si>
  <si>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</si>
  <si>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</si>
  <si>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</si>
  <si>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</si>
  <si>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</si>
  <si>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</si>
  <si>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</si>
  <si>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</si>
  <si>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</si>
  <si>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</si>
  <si>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</si>
  <si>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</si>
  <si>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</si>
  <si>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</si>
  <si>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</si>
  <si>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</si>
  <si>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</si>
  <si>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</si>
  <si>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</si>
  <si>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</si>
  <si>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</si>
  <si>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</si>
  <si>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</si>
  <si>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</si>
  <si>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</si>
  <si>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</si>
  <si>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</si>
  <si>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</si>
  <si>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</si>
  <si>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</si>
  <si>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</si>
  <si>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</si>
  <si>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</si>
  <si>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</si>
  <si>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</si>
  <si>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</si>
  <si>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</si>
  <si>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</si>
  <si>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</si>
  <si>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</si>
  <si>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</si>
  <si>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</si>
  <si>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</si>
  <si>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</si>
  <si>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</si>
  <si>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</si>
  <si>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</si>
  <si>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</si>
  <si>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</si>
  <si>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</si>
  <si>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</si>
  <si>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</si>
  <si>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</si>
  <si>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</si>
  <si>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</si>
  <si>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</si>
  <si>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</si>
  <si>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</si>
  <si>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</si>
  <si>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</si>
  <si>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</si>
  <si>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</si>
  <si>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</si>
  <si>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</si>
  <si>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</si>
  <si>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</si>
  <si>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</si>
  <si>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</si>
  <si>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</si>
  <si>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</si>
  <si>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</si>
  <si>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</si>
  <si>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</si>
  <si>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</si>
  <si>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</si>
  <si>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</si>
  <si>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</si>
  <si>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</si>
  <si>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</si>
  <si>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</si>
  <si>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</si>
  <si>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</si>
  <si>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</si>
  <si>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</si>
  <si>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</si>
  <si>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</si>
  <si>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</si>
  <si>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</si>
  <si>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</si>
  <si>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</si>
  <si>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</si>
  <si>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</si>
  <si>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</si>
  <si>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</si>
  <si>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</si>
  <si>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</si>
  <si>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</si>
  <si>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</si>
  <si>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</si>
  <si>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</si>
  <si>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</si>
  <si>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</si>
  <si>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</si>
  <si>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</si>
  <si>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</si>
  <si>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</si>
  <si>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</si>
  <si>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</si>
  <si>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</si>
  <si>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</si>
  <si>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</si>
  <si>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</si>
  <si>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</si>
  <si>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</si>
  <si>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</si>
  <si>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</si>
  <si>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</si>
  <si>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</si>
  <si>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</si>
  <si>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</si>
  <si>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</si>
  <si>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</si>
  <si>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</si>
  <si>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</si>
  <si>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</si>
  <si>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</si>
  <si>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</si>
  <si>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</si>
  <si>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</si>
  <si>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</si>
  <si>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</si>
  <si>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</si>
  <si>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</si>
  <si>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</si>
  <si>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</si>
  <si>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</si>
  <si>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</si>
  <si>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</si>
  <si>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</si>
  <si>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</si>
  <si>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</si>
  <si>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</si>
  <si>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</si>
  <si>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</si>
  <si>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</si>
  <si>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</si>
  <si>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</si>
  <si>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</si>
  <si>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</si>
  <si>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</si>
  <si>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</si>
  <si>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</si>
  <si>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</si>
  <si>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</si>
  <si>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</si>
  <si>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</si>
  <si>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</si>
  <si>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</si>
  <si>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</si>
  <si>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</si>
  <si>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</si>
  <si>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</si>
  <si>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</si>
  <si>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</si>
  <si>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</si>
  <si>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</si>
  <si>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</si>
  <si>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</si>
  <si>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</si>
  <si>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</si>
  <si>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</si>
  <si>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</si>
  <si>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</si>
  <si>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</si>
  <si>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</si>
  <si>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</si>
  <si>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</si>
  <si>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</si>
  <si>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</si>
  <si>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</si>
  <si>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</si>
  <si>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</si>
  <si>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</si>
  <si>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</si>
  <si>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</si>
  <si>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</si>
  <si>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</si>
  <si>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</si>
  <si>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</si>
  <si>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</si>
  <si>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</si>
  <si>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</si>
  <si>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</si>
  <si>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</si>
  <si>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</si>
  <si>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</si>
  <si>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</si>
  <si>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</si>
  <si>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</si>
  <si>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</si>
  <si>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</si>
  <si>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</si>
  <si>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</si>
  <si>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</si>
  <si>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</si>
  <si>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</si>
  <si>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</si>
  <si>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</si>
  <si>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</si>
  <si>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</si>
  <si>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</si>
  <si>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</si>
  <si>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</si>
  <si>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</si>
  <si>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</si>
  <si>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</si>
  <si>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</si>
  <si>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</si>
  <si>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</si>
  <si>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</si>
  <si>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</si>
  <si>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</si>
  <si>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</si>
  <si>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</si>
  <si>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</si>
  <si>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</si>
  <si>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</si>
  <si>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</si>
  <si>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</si>
  <si>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</si>
  <si>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</si>
  <si>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</si>
  <si>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</si>
  <si>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</si>
  <si>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</si>
  <si>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</si>
  <si>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</si>
  <si>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</si>
  <si>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</si>
  <si>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</si>
  <si>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</si>
  <si>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</si>
  <si>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</si>
  <si>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</si>
  <si>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</si>
  <si>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</si>
  <si>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</si>
  <si>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</si>
  <si>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</si>
  <si>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</si>
  <si>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</si>
  <si>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</si>
  <si>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</si>
  <si>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</si>
  <si>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</si>
  <si>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</si>
  <si>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</si>
  <si>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</si>
  <si>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</si>
  <si>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</si>
  <si>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</si>
  <si>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</si>
  <si>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</si>
  <si>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</si>
  <si>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</si>
  <si>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</si>
  <si>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</si>
  <si>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</si>
  <si>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</si>
  <si>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</si>
  <si>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</si>
  <si>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</si>
  <si>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</si>
  <si>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</si>
  <si>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</si>
  <si>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</si>
  <si>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</si>
  <si>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</si>
  <si>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</si>
  <si>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</si>
  <si>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</si>
  <si>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</si>
  <si>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</si>
  <si>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</si>
  <si>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</si>
  <si>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</si>
  <si>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</si>
  <si>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</si>
  <si>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</si>
  <si>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</si>
  <si>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</si>
  <si>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</si>
  <si>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</si>
  <si>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</si>
  <si>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</si>
  <si>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</si>
  <si>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</si>
  <si>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</si>
  <si>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</si>
  <si>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</si>
  <si>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</si>
  <si>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</si>
  <si>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</si>
  <si>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</si>
  <si>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</si>
  <si>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</si>
  <si>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</si>
  <si>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</si>
  <si>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</si>
  <si>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</si>
  <si>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</si>
  <si>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</si>
  <si>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</si>
  <si>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</si>
  <si>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</si>
  <si>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</si>
  <si>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</si>
  <si>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</si>
  <si>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</si>
  <si>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</si>
  <si>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</si>
  <si>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</si>
  <si>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</si>
  <si>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</si>
  <si>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</si>
  <si>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</si>
  <si>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</si>
  <si>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</si>
  <si>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</si>
  <si>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</si>
  <si>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</si>
  <si>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</si>
  <si>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</si>
  <si>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</si>
  <si>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</si>
  <si>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</si>
  <si>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</si>
  <si>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</si>
  <si>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</si>
  <si>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</si>
  <si>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</si>
  <si>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</si>
  <si>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</si>
  <si>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</si>
  <si>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</si>
  <si>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</si>
  <si>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</si>
  <si>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</si>
  <si>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</si>
  <si>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</si>
  <si>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</si>
  <si>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</si>
  <si>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</si>
  <si>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</si>
  <si>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</si>
  <si>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</si>
  <si>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</si>
  <si>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</si>
  <si>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</si>
  <si>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</si>
  <si>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</si>
  <si>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</si>
  <si>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</si>
  <si>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</si>
  <si>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</si>
  <si>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</si>
  <si>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</si>
  <si>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</si>
  <si>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</si>
  <si>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</si>
  <si>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</si>
  <si>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</si>
  <si>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</si>
  <si>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</si>
  <si>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</si>
  <si>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</si>
  <si>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</si>
  <si>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</si>
  <si>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</si>
  <si>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</si>
  <si>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</si>
  <si>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</si>
  <si>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</si>
  <si>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</si>
  <si>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</si>
  <si>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</si>
  <si>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</si>
  <si>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</si>
  <si>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</si>
  <si>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</si>
  <si>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</si>
  <si>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</si>
  <si>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</si>
  <si>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</si>
  <si>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</si>
  <si>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</si>
  <si>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</si>
  <si>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</si>
  <si>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</si>
  <si>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</si>
  <si>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</si>
  <si>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</si>
  <si>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</si>
  <si>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</si>
  <si>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</si>
  <si>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</si>
  <si>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</si>
  <si>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</si>
  <si>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</si>
  <si>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</si>
  <si>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</si>
  <si>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</si>
  <si>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</si>
  <si>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</si>
  <si>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</si>
  <si>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</si>
  <si>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</si>
  <si>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</si>
  <si>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</si>
  <si>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</si>
  <si>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</si>
  <si>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</si>
  <si>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</si>
  <si>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</si>
  <si>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</si>
  <si>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</si>
  <si>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</si>
  <si>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</si>
  <si>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</si>
  <si>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</si>
  <si>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</si>
  <si>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</si>
  <si>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</si>
  <si>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</si>
  <si>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</si>
  <si>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</si>
  <si>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</si>
  <si>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</si>
  <si>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</si>
  <si>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</si>
  <si>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</si>
  <si>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</si>
  <si>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</si>
  <si>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</si>
  <si>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</si>
  <si>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</si>
  <si>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</si>
  <si>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</si>
  <si>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</si>
  <si>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</si>
  <si>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</si>
  <si>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</si>
  <si>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</si>
  <si>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</si>
  <si>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</si>
  <si>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</si>
  <si>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</si>
  <si>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</si>
  <si>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</si>
  <si>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</si>
  <si>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</si>
  <si>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</si>
  <si>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</si>
  <si>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</si>
  <si>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</si>
  <si>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</si>
  <si>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</si>
  <si>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</si>
  <si>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</si>
  <si>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</si>
  <si>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</si>
  <si>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</si>
  <si>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</si>
  <si>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</si>
  <si>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</si>
  <si>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</si>
  <si>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</si>
  <si>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</si>
  <si>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</si>
  <si>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</si>
  <si>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</si>
  <si>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</si>
  <si>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</si>
  <si>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</si>
  <si>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</si>
  <si>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</si>
  <si>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</si>
  <si>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</si>
  <si>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</si>
  <si>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</si>
  <si>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</si>
  <si>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</si>
  <si>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</si>
  <si>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</si>
  <si>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</si>
  <si>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</si>
  <si>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</si>
  <si>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</si>
  <si>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</si>
  <si>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</si>
  <si>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</si>
  <si>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</si>
  <si>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</si>
  <si>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</si>
  <si>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</si>
  <si>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</si>
  <si>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</si>
  <si>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</si>
  <si>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</si>
  <si>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</si>
  <si>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</si>
  <si>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</si>
  <si>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</si>
  <si>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</si>
  <si>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</si>
  <si>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</si>
  <si>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</si>
  <si>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</si>
  <si>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</si>
  <si>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</si>
  <si>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</si>
  <si>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</si>
  <si>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</si>
  <si>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</si>
  <si>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</si>
  <si>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</si>
  <si>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</si>
  <si>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</si>
  <si>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</si>
  <si>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</si>
  <si>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</si>
  <si>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</si>
  <si>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</si>
  <si>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</si>
  <si>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</si>
  <si>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</si>
  <si>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</si>
  <si>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</si>
  <si>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</si>
  <si>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</si>
  <si>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</si>
  <si>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</si>
  <si>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</si>
  <si>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</si>
  <si>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</si>
  <si>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</si>
  <si>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</si>
  <si>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</si>
  <si>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</si>
  <si>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</si>
  <si>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</si>
  <si>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</si>
  <si>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</si>
  <si>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</si>
  <si>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</si>
  <si>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</si>
  <si>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</si>
  <si>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</si>
  <si>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</si>
  <si>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</si>
  <si>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</si>
  <si>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</si>
  <si>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</si>
  <si>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</si>
  <si>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</si>
  <si>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</si>
  <si>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</si>
  <si>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</si>
  <si>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</si>
  <si>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</si>
  <si>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</si>
  <si>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</si>
  <si>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</si>
  <si>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</si>
  <si>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</si>
  <si>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</si>
  <si>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</si>
  <si>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</si>
  <si>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</si>
  <si>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</si>
  <si>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</si>
  <si>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</si>
  <si>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</si>
  <si>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</si>
  <si>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</si>
  <si>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</si>
  <si>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</si>
  <si>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</si>
  <si>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</si>
  <si>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</si>
  <si>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</si>
  <si>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</si>
  <si>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</si>
  <si>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</si>
  <si>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</si>
  <si>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</si>
  <si>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</si>
  <si>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</si>
  <si>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</si>
  <si>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</si>
  <si>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</si>
  <si>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</si>
  <si>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</si>
  <si>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</si>
  <si>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</si>
  <si>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</si>
  <si>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</si>
  <si>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</si>
  <si>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</si>
  <si>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</si>
  <si>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</si>
  <si>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</si>
  <si>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</si>
  <si>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</si>
  <si>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</si>
  <si>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</si>
  <si>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</si>
  <si>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</si>
  <si>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</si>
  <si>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</si>
  <si>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</si>
  <si>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</si>
  <si>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</si>
  <si>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</si>
  <si>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</si>
  <si>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</si>
  <si>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</si>
  <si>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</si>
  <si>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</si>
  <si>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</si>
  <si>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</si>
  <si>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</si>
  <si>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</si>
  <si>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</si>
  <si>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</si>
  <si>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</si>
  <si>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</si>
  <si>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</si>
  <si>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</si>
  <si>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</si>
  <si>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</si>
  <si>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</si>
  <si>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</si>
  <si>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</si>
  <si>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</si>
  <si>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</si>
  <si>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</si>
  <si>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</si>
  <si>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</si>
  <si>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</si>
  <si>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</si>
  <si>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</si>
  <si>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</si>
  <si>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</si>
  <si>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</si>
  <si>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</si>
  <si>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</si>
  <si>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</si>
  <si>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</si>
  <si>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</si>
  <si>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</si>
  <si>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</si>
  <si>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</si>
  <si>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</si>
  <si>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</si>
  <si>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</si>
  <si>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</si>
  <si>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</si>
  <si>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</si>
  <si>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</si>
  <si>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</si>
  <si>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</si>
  <si>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</si>
  <si>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</si>
  <si>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</si>
  <si>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</si>
  <si>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</si>
  <si>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</si>
  <si>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</si>
  <si>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</si>
  <si>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</si>
  <si>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</si>
  <si>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</si>
  <si>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</si>
  <si>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</si>
  <si>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</si>
  <si>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</si>
  <si>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</si>
  <si>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</si>
  <si>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</si>
  <si>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</si>
  <si>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</si>
  <si>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</si>
  <si>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</si>
  <si>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</si>
  <si>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</si>
  <si>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</si>
  <si>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</si>
  <si>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</si>
  <si>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</si>
  <si>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</si>
  <si>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</si>
  <si>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</si>
  <si>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</si>
  <si>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</si>
  <si>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</si>
  <si>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</si>
  <si>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</si>
  <si>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</si>
  <si>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</si>
  <si>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</si>
  <si>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</si>
  <si>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</si>
  <si>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</si>
  <si>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</si>
  <si>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</si>
  <si>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</si>
  <si>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</si>
  <si>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</si>
  <si>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</si>
  <si>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</si>
  <si>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</si>
  <si>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</si>
  <si>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</si>
  <si>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</si>
  <si>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</si>
  <si>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</si>
  <si>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</si>
  <si>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</si>
  <si>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</si>
  <si>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</si>
  <si>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</si>
  <si>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</si>
  <si>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</si>
  <si>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</si>
  <si>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</si>
  <si>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</si>
  <si>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</si>
  <si>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</si>
  <si>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</si>
  <si>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</si>
  <si>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</si>
  <si>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</si>
  <si>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</si>
  <si>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</si>
  <si>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</si>
  <si>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</si>
  <si>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</si>
  <si>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</si>
  <si>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</si>
  <si>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</si>
  <si>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</si>
  <si>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</si>
  <si>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</si>
  <si>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</si>
  <si>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</si>
  <si>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</si>
  <si>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</si>
  <si>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</si>
  <si>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</si>
  <si>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</si>
  <si>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</si>
  <si>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</si>
  <si>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</si>
  <si>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</si>
  <si>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</si>
  <si>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</si>
  <si>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</si>
  <si>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</si>
  <si>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</si>
  <si>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</si>
  <si>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</si>
  <si>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</si>
  <si>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</si>
  <si>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</si>
  <si>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</si>
  <si>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</si>
  <si>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</si>
  <si>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</si>
  <si>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</si>
  <si>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</si>
  <si>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</si>
  <si>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</si>
  <si>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</si>
  <si>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</si>
  <si>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</si>
  <si>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</si>
  <si>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</si>
  <si>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</si>
  <si>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</si>
  <si>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</si>
  <si>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</si>
  <si>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</si>
  <si>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</si>
  <si>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</si>
  <si>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</si>
  <si>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</si>
  <si>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</si>
  <si>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</si>
  <si>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</si>
  <si>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</si>
  <si>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</si>
  <si>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</si>
  <si>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</si>
  <si>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</si>
  <si>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</si>
  <si>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</si>
  <si>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</si>
  <si>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</si>
  <si>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</si>
  <si>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</si>
  <si>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</si>
  <si>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</si>
  <si>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</si>
  <si>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</si>
  <si>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</si>
  <si>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</si>
  <si>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</si>
  <si>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</si>
  <si>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</si>
  <si>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</si>
  <si>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</si>
  <si>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</si>
  <si>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</si>
  <si>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</si>
  <si>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</si>
  <si>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</si>
  <si>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</si>
  <si>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</si>
  <si>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</si>
  <si>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</si>
  <si>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</si>
  <si>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</si>
  <si>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</si>
  <si>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</si>
  <si>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</si>
  <si>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</si>
  <si>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</si>
  <si>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</si>
  <si>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</si>
  <si>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</si>
  <si>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</si>
  <si>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</si>
  <si>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</si>
  <si>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</si>
  <si>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</si>
  <si>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</si>
  <si>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</si>
  <si>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</si>
  <si>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</si>
  <si>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</si>
  <si>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</si>
  <si>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</si>
  <si>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</si>
  <si>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</si>
  <si>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</si>
  <si>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</si>
  <si>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</si>
  <si>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</si>
  <si>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</si>
  <si>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</si>
  <si>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</si>
  <si>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</si>
  <si>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</si>
  <si>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</si>
  <si>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</si>
  <si>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</si>
  <si>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</si>
  <si>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</si>
  <si>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</si>
  <si>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</si>
  <si>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</si>
  <si>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</si>
  <si>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</si>
  <si>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</si>
  <si>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</si>
  <si>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</si>
  <si>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</si>
  <si>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</si>
  <si>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</si>
  <si>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</si>
  <si>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</si>
  <si>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</si>
  <si>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</si>
  <si>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</si>
  <si>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</si>
  <si>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</si>
  <si>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</si>
  <si>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</si>
  <si>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</si>
  <si>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</si>
  <si>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</si>
  <si>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</si>
  <si>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</si>
  <si>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</si>
  <si>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</si>
  <si>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</si>
  <si>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</si>
  <si>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</si>
  <si>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</si>
  <si>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</si>
  <si>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</si>
  <si>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</si>
  <si>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</si>
  <si>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</si>
  <si>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</si>
  <si>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</si>
  <si>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</si>
  <si>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</si>
  <si>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</si>
  <si>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</si>
  <si>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</si>
  <si>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</si>
  <si>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</si>
  <si>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</si>
  <si>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</si>
  <si>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</si>
  <si>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</si>
  <si>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</si>
  <si>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</si>
  <si>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</si>
  <si>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</si>
  <si>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</si>
  <si>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</si>
  <si>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</si>
  <si>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</si>
  <si>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</si>
  <si>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</si>
  <si>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</si>
  <si>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</si>
  <si>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</si>
  <si>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</si>
  <si>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</si>
  <si>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</si>
  <si>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</si>
  <si>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</si>
  <si>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</si>
  <si>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</si>
  <si>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</si>
  <si>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</si>
  <si>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</si>
  <si>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</si>
  <si>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</si>
  <si>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</si>
  <si>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</si>
  <si>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</si>
  <si>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</si>
  <si>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</si>
  <si>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</si>
  <si>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</si>
  <si>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</si>
  <si>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</si>
  <si>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</si>
  <si>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</si>
  <si>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</si>
  <si>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</si>
  <si>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</si>
  <si>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</si>
  <si>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</si>
  <si>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</si>
  <si>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</si>
  <si>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</si>
  <si>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</si>
  <si>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</si>
  <si>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</si>
  <si>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</si>
  <si>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</si>
  <si>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</si>
  <si>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</si>
  <si>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</si>
  <si>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</si>
  <si>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</si>
  <si>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</si>
  <si>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</si>
  <si>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</si>
  <si>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</si>
  <si>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</si>
  <si>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</si>
  <si>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</si>
  <si>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</si>
  <si>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</si>
  <si>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</si>
  <si>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</si>
  <si>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</si>
  <si>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</si>
  <si>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</si>
  <si>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</si>
  <si>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</si>
  <si>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</si>
  <si>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</si>
  <si>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</si>
  <si>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</si>
  <si>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</si>
  <si>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</si>
  <si>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</si>
  <si>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</si>
  <si>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</si>
  <si>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</si>
  <si>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</si>
  <si>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</si>
  <si>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</si>
  <si>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</si>
  <si>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</si>
  <si>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</si>
  <si>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</si>
  <si>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</si>
  <si>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</si>
  <si>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</si>
  <si>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</si>
  <si>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</si>
  <si>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</si>
  <si>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</si>
  <si>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</si>
  <si>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</si>
  <si>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</si>
  <si>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</si>
  <si>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</si>
  <si>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</si>
  <si>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</si>
  <si>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</si>
  <si>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</si>
  <si>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</si>
  <si>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</si>
  <si>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</si>
  <si>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</si>
  <si>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</si>
  <si>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</si>
  <si>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</si>
  <si>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</si>
  <si>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</si>
  <si>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</si>
  <si>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</si>
  <si>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</si>
  <si>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</si>
  <si>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</si>
  <si>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</si>
  <si>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</si>
  <si>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</si>
  <si>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</si>
  <si>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</si>
  <si>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</si>
  <si>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</si>
  <si>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</si>
  <si>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</si>
  <si>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</si>
  <si>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</si>
  <si>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</si>
  <si>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</si>
  <si>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</si>
  <si>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</si>
  <si>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</si>
  <si>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</si>
  <si>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</si>
  <si>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</si>
  <si>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</si>
  <si>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</si>
  <si>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</si>
  <si>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</si>
  <si>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</si>
  <si>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</si>
  <si>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</si>
  <si>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</si>
  <si>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</si>
  <si>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</si>
  <si>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</si>
  <si>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</si>
  <si>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</si>
  <si>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</si>
  <si>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</si>
  <si>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</si>
  <si>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</si>
  <si>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</si>
  <si>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</si>
  <si>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</si>
  <si>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</si>
  <si>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</si>
  <si>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</si>
  <si>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</si>
  <si>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</si>
  <si>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</si>
  <si>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</si>
  <si>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</si>
  <si>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</si>
  <si>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</si>
  <si>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</si>
  <si>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</si>
  <si>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</si>
  <si>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</si>
  <si>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</si>
  <si>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</si>
  <si>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</si>
  <si>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</si>
  <si>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</si>
  <si>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</si>
  <si>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</si>
  <si>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</si>
  <si>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</si>
  <si>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</si>
  <si>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</si>
  <si>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</si>
  <si>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</si>
  <si>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</si>
  <si>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</si>
  <si>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</si>
  <si>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</si>
  <si>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</si>
  <si>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</si>
  <si>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</si>
  <si>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</si>
  <si>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</si>
  <si>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</si>
  <si>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</si>
  <si>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</si>
  <si>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</si>
  <si>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</si>
  <si>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</si>
  <si>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</si>
  <si>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</si>
  <si>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</si>
  <si>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</si>
  <si>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</si>
  <si>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</si>
  <si>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</si>
  <si>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</si>
  <si>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</si>
  <si>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</si>
  <si>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</si>
  <si>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</si>
  <si>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</si>
  <si>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</si>
  <si>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</si>
  <si>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</si>
  <si>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</si>
  <si>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</si>
  <si>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</si>
  <si>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</si>
  <si>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</si>
  <si>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</si>
  <si>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</si>
  <si>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</si>
  <si>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</si>
  <si>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</si>
  <si>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</si>
  <si>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</si>
  <si>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</si>
  <si>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</si>
  <si>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</si>
  <si>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</si>
  <si>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</si>
  <si>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</si>
  <si>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</si>
  <si>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</si>
  <si>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</si>
  <si>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</si>
  <si>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</si>
  <si>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</si>
  <si>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</si>
  <si>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</si>
  <si>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</si>
  <si>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</si>
  <si>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</si>
  <si>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</si>
  <si>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</si>
  <si>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</si>
  <si>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</si>
  <si>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</si>
  <si>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</si>
  <si>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</si>
  <si>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</si>
  <si>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</si>
  <si>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</si>
  <si>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</si>
  <si>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</si>
  <si>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</si>
  <si>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</si>
  <si>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</si>
  <si>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</si>
  <si>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</si>
  <si>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</si>
  <si>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</si>
  <si>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</si>
  <si>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</si>
  <si>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</si>
  <si>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</si>
  <si>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</si>
  <si>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</si>
  <si>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</si>
  <si>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</si>
  <si>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</si>
  <si>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</si>
  <si>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</si>
  <si>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</si>
  <si>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</si>
  <si>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</si>
  <si>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</si>
  <si>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</si>
  <si>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</si>
  <si>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</si>
  <si>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</si>
  <si>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</si>
  <si>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</si>
  <si>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</si>
  <si>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</si>
  <si>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</si>
  <si>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</si>
  <si>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</si>
  <si>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</si>
  <si>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</si>
  <si>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</si>
  <si>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</si>
  <si>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</si>
  <si>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</si>
  <si>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</si>
  <si>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</si>
  <si>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</si>
  <si>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</si>
  <si>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</si>
  <si>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</si>
  <si>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</si>
  <si>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</si>
  <si>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</si>
  <si>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</si>
  <si>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</si>
  <si>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</si>
  <si>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</si>
  <si>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</si>
  <si>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</si>
  <si>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</si>
  <si>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</si>
  <si>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</si>
  <si>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</si>
  <si>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</si>
  <si>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</si>
  <si>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</si>
  <si>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</si>
  <si>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</si>
  <si>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</si>
  <si>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</si>
  <si>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</si>
  <si>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</si>
  <si>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</si>
  <si>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</si>
  <si>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</si>
  <si>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</si>
  <si>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</si>
  <si>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</si>
  <si>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</si>
  <si>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</si>
  <si>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</si>
  <si>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</si>
  <si>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</si>
  <si>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</si>
  <si>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</si>
  <si>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</si>
  <si>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</si>
  <si>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</si>
  <si>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</si>
  <si>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</si>
  <si>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</si>
  <si>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</si>
  <si>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</si>
  <si>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</si>
  <si>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</si>
  <si>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</si>
  <si>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</si>
  <si>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</si>
  <si>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</si>
  <si>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</si>
  <si>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</si>
  <si>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</si>
  <si>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</si>
  <si>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</si>
  <si>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</si>
  <si>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</si>
  <si>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</si>
  <si>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</si>
  <si>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</si>
  <si>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</si>
  <si>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</si>
  <si>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</si>
  <si>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</si>
  <si>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</si>
  <si>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</si>
  <si>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</si>
  <si>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</si>
  <si>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</si>
  <si>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</si>
  <si>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</si>
  <si>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</si>
  <si>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</si>
  <si>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</si>
  <si>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</si>
  <si>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</si>
  <si>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</si>
  <si>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</si>
  <si>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</si>
  <si>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</si>
  <si>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</si>
  <si>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</si>
  <si>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</si>
  <si>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</si>
  <si>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</si>
  <si>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</si>
  <si>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</si>
  <si>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</si>
  <si>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</si>
  <si>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</si>
  <si>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</si>
  <si>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</si>
  <si>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</si>
  <si>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</si>
  <si>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</si>
  <si>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</si>
  <si>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</si>
  <si>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</si>
  <si>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</si>
  <si>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</si>
  <si>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</si>
  <si>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</si>
  <si>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</si>
  <si>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</si>
  <si>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</si>
  <si>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</si>
  <si>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</si>
  <si>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</si>
  <si>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</si>
  <si>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</si>
  <si>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</si>
  <si>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</si>
  <si>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</si>
  <si>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</si>
  <si>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</si>
  <si>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</si>
  <si>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</si>
  <si>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</si>
  <si>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</si>
  <si>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</si>
  <si>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</si>
  <si>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</si>
  <si>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</si>
  <si>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</si>
  <si>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</si>
  <si>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</si>
  <si>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</si>
  <si>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</si>
  <si>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</si>
  <si>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</si>
  <si>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</si>
  <si>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</si>
  <si>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</si>
  <si>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</si>
  <si>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</si>
  <si>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</si>
  <si>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</si>
  <si>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</si>
  <si>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</si>
  <si>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</si>
  <si>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</si>
  <si>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</si>
  <si>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</si>
  <si>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</si>
  <si>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</si>
  <si>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</si>
  <si>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</si>
  <si>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</si>
  <si>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</si>
  <si>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</si>
  <si>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</si>
  <si>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</si>
  <si>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</si>
  <si>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</si>
  <si>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</si>
  <si>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</si>
  <si>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</si>
  <si>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</si>
  <si>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</si>
  <si>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</si>
  <si>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</si>
  <si>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</si>
  <si>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</si>
  <si>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</si>
  <si>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</si>
  <si>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</si>
  <si>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</si>
  <si>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</si>
  <si>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</si>
  <si>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</si>
  <si>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</si>
  <si>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</si>
  <si>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</si>
  <si>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</si>
  <si>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</si>
  <si>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</si>
  <si>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</si>
  <si>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</si>
  <si>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</si>
  <si>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</si>
  <si>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</si>
  <si>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</si>
  <si>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</si>
  <si>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</si>
  <si>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</si>
  <si>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</si>
  <si>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</si>
  <si>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</si>
  <si>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</si>
  <si>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</si>
  <si>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</si>
  <si>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</si>
  <si>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</si>
  <si>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</si>
  <si>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</si>
  <si>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</si>
  <si>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</si>
  <si>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</si>
  <si>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</si>
  <si>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</si>
  <si>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</si>
  <si>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</si>
  <si>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</si>
  <si>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</si>
  <si>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</si>
  <si>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</si>
  <si>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</si>
  <si>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</si>
  <si>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</si>
  <si>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</si>
  <si>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</si>
  <si>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</si>
  <si>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</si>
  <si>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</si>
  <si>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</si>
  <si>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</si>
  <si>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</si>
  <si>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</si>
  <si>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</si>
  <si>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</si>
  <si>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</si>
  <si>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</si>
  <si>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</si>
  <si>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</si>
  <si>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</si>
  <si>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</si>
  <si>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</si>
  <si>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</si>
  <si>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</si>
  <si>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</si>
  <si>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</si>
  <si>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</si>
  <si>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</si>
  <si>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</si>
  <si>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</si>
  <si>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</si>
  <si>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</si>
  <si>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</si>
  <si>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</si>
  <si>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</si>
  <si>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</si>
  <si>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</si>
  <si>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</si>
  <si>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</si>
  <si>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</si>
  <si>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</si>
  <si>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</si>
  <si>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</si>
  <si>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</si>
  <si>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</si>
  <si>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</si>
  <si>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</si>
  <si>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</si>
  <si>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</si>
  <si>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</si>
  <si>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</si>
  <si>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</si>
  <si>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</si>
  <si>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</si>
  <si>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</si>
  <si>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</si>
  <si>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</si>
  <si>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</si>
  <si>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</si>
  <si>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</si>
  <si>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</si>
  <si>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</si>
  <si>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</si>
  <si>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</si>
  <si>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</si>
  <si>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</si>
  <si>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</si>
  <si>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</si>
  <si>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</si>
  <si>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</si>
  <si>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</si>
  <si>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</si>
  <si>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</si>
  <si>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</si>
  <si>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</si>
  <si>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</si>
  <si>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</si>
  <si>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</si>
  <si>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</si>
  <si>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</si>
  <si>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</si>
  <si>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</si>
  <si>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</si>
  <si>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</si>
  <si>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</si>
  <si>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</si>
  <si>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</si>
  <si>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</si>
  <si>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</si>
  <si>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</si>
  <si>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</si>
  <si>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</si>
  <si>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</si>
  <si>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</si>
  <si>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</si>
  <si>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</si>
  <si>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</si>
  <si>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</si>
  <si>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</si>
  <si>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</si>
  <si>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</si>
  <si>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</si>
  <si>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</si>
  <si>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</si>
  <si>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</si>
  <si>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</si>
  <si>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</si>
  <si>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</si>
  <si>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</si>
  <si>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</si>
  <si>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</si>
  <si>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</si>
  <si>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</si>
  <si>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</si>
  <si>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</si>
  <si>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</si>
  <si>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</si>
  <si>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</si>
  <si>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</si>
  <si>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</si>
  <si>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</si>
  <si>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</si>
  <si>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</si>
  <si>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</si>
  <si>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</si>
  <si>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</si>
  <si>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</si>
  <si>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</si>
  <si>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</si>
  <si>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</si>
  <si>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</si>
  <si>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</si>
  <si>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</si>
  <si>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</si>
  <si>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</si>
  <si>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</si>
  <si>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</si>
  <si>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</si>
  <si>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</si>
  <si>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</si>
  <si>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</si>
  <si>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</si>
  <si>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</si>
  <si>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</si>
  <si>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</si>
  <si>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</si>
  <si>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</si>
  <si>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</si>
  <si>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</si>
  <si>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</si>
  <si>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</si>
  <si>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</si>
  <si>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</si>
  <si>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</si>
  <si>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</si>
  <si>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</si>
  <si>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</si>
  <si>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</si>
  <si>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</si>
  <si>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</si>
  <si>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</si>
  <si>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</si>
  <si>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</si>
  <si>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</si>
  <si>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</si>
  <si>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</si>
  <si>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</si>
  <si>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</si>
  <si>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</si>
  <si>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</si>
  <si>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</si>
  <si>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</si>
  <si>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</si>
  <si>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</si>
  <si>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</si>
  <si>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</si>
  <si>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</si>
  <si>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</si>
  <si>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</si>
  <si>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</si>
  <si>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</si>
  <si>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</si>
  <si>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</si>
  <si>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</si>
  <si>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</si>
  <si>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</si>
  <si>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</si>
  <si>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</si>
  <si>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</si>
  <si>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</si>
  <si>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</si>
  <si>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</si>
  <si>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</si>
  <si>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</si>
  <si>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</si>
  <si>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</si>
  <si>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</si>
  <si>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</si>
  <si>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</si>
  <si>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</si>
  <si>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</si>
  <si>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</si>
  <si>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</si>
  <si>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</si>
  <si>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</si>
  <si>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</si>
  <si>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</si>
  <si>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</si>
  <si>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</si>
  <si>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</si>
  <si>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</si>
  <si>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</si>
  <si>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</si>
  <si>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</si>
  <si>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</si>
  <si>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</si>
  <si>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</si>
  <si>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</si>
  <si>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</si>
  <si>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</si>
  <si>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</si>
  <si>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</si>
  <si>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</si>
  <si>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</si>
  <si>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</si>
  <si>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</si>
  <si>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</si>
  <si>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</si>
  <si>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</si>
  <si>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</si>
  <si>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</si>
  <si>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</si>
  <si>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</si>
  <si>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</si>
  <si>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</si>
  <si>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</si>
  <si>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</si>
  <si>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</si>
  <si>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</si>
  <si>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</si>
  <si>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</si>
  <si>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</si>
  <si>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</si>
  <si>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</si>
  <si>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</si>
  <si>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</si>
  <si>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</si>
  <si>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</si>
  <si>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</si>
  <si>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</si>
  <si>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</si>
  <si>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</si>
  <si>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</si>
  <si>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</si>
  <si>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</si>
  <si>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</si>
  <si>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</si>
  <si>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</si>
  <si>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</si>
  <si>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</si>
  <si>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</si>
  <si>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</si>
  <si>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</si>
  <si>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</si>
  <si>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</si>
  <si>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</si>
  <si>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</si>
  <si>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</si>
  <si>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</si>
  <si>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</si>
  <si>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</si>
  <si>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</si>
  <si>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</si>
  <si>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</si>
  <si>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</si>
  <si>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</si>
  <si>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</si>
  <si>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</si>
  <si>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</si>
  <si>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</si>
  <si>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</si>
  <si>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</si>
  <si>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</si>
  <si>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</si>
  <si>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</si>
  <si>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</si>
  <si>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</si>
  <si>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</si>
  <si>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</si>
  <si>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</si>
  <si>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</si>
  <si>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</si>
  <si>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</si>
  <si>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</si>
  <si>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</si>
  <si>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</si>
  <si>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</si>
  <si>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</si>
  <si>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</si>
  <si>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</si>
  <si>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</si>
  <si>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</si>
  <si>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</si>
  <si>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</si>
  <si>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</si>
  <si>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</si>
  <si>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</si>
  <si>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</si>
  <si>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</si>
  <si>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</si>
  <si>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</si>
  <si>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</si>
  <si>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</si>
  <si>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</si>
  <si>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</si>
  <si>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</si>
  <si>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</si>
  <si>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</si>
  <si>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</si>
  <si>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</si>
  <si>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</si>
  <si>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</si>
  <si>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</si>
  <si>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</si>
  <si>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</si>
  <si>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</si>
  <si>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</si>
  <si>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</si>
  <si>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</si>
  <si>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</si>
  <si>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</si>
  <si>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</si>
  <si>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</si>
  <si>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</si>
  <si>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</si>
  <si>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</si>
  <si>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</si>
  <si>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</si>
  <si>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</si>
  <si>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</si>
  <si>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</si>
  <si>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</si>
  <si>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</si>
  <si>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</si>
  <si>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</si>
  <si>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</si>
  <si>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</si>
  <si>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</si>
  <si>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</si>
  <si>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</si>
  <si>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</si>
  <si>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</si>
  <si>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</si>
  <si>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</si>
  <si>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</si>
  <si>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</si>
  <si>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</si>
  <si>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</si>
  <si>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</si>
  <si>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</si>
  <si>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</si>
  <si>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</si>
  <si>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</si>
  <si>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</si>
  <si>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</si>
  <si>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</si>
  <si>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</si>
  <si>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</si>
  <si>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</si>
  <si>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</si>
  <si>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</si>
  <si>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</si>
  <si>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</si>
  <si>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</si>
  <si>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</si>
  <si>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</si>
  <si>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</si>
  <si>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</si>
  <si>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</si>
  <si>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</si>
  <si>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</si>
  <si>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</si>
  <si>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</si>
  <si>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</si>
  <si>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</si>
  <si>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</si>
  <si>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</si>
  <si>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</si>
  <si>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</si>
  <si>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</si>
  <si>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</si>
  <si>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</si>
  <si>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</si>
  <si>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</si>
  <si>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</si>
  <si>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</si>
  <si>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</si>
  <si>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</si>
  <si>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</si>
  <si>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</si>
  <si>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</si>
  <si>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</si>
  <si>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</si>
  <si>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</si>
  <si>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</si>
  <si>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</si>
  <si>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</si>
  <si>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</si>
  <si>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</si>
  <si>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</si>
  <si>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</si>
  <si>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</si>
  <si>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</si>
  <si>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</si>
  <si>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</si>
  <si>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</si>
  <si>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</si>
  <si>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</si>
  <si>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</si>
  <si>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</si>
  <si>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</si>
  <si>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</si>
  <si>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</si>
  <si>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</si>
  <si>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</si>
  <si>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</si>
  <si>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</si>
  <si>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</si>
  <si>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</si>
  <si>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</si>
  <si>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</si>
  <si>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</si>
  <si>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</si>
  <si>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</si>
  <si>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</si>
  <si>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</si>
  <si>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</si>
  <si>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</si>
  <si>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</si>
  <si>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</si>
  <si>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</si>
  <si>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</si>
  <si>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</si>
  <si>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</si>
  <si>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</si>
  <si>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</si>
  <si>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</si>
  <si>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</si>
  <si>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</si>
  <si>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</si>
  <si>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</si>
  <si>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</si>
  <si>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</si>
  <si>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</si>
  <si>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</si>
  <si>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</si>
  <si>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</si>
  <si>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</si>
  <si>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</si>
  <si>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</si>
  <si>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</si>
  <si>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</si>
  <si>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</si>
  <si>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</si>
  <si>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</si>
  <si>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</si>
  <si>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</si>
  <si>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</si>
  <si>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</si>
  <si>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</si>
  <si>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</si>
  <si>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</si>
  <si>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</si>
  <si>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</si>
  <si>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</si>
  <si>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</si>
  <si>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</si>
  <si>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</si>
  <si>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</si>
  <si>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</si>
  <si>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</si>
  <si>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</si>
  <si>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</si>
  <si>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</si>
  <si>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</si>
  <si>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</si>
  <si>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</si>
  <si>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</si>
  <si>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</si>
  <si>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</si>
  <si>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</si>
  <si>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</si>
  <si>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</si>
  <si>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</si>
  <si>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</si>
  <si>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</si>
  <si>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</si>
  <si>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</si>
  <si>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</si>
  <si>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</si>
  <si>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</si>
  <si>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</si>
  <si>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</si>
  <si>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</si>
  <si>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</si>
  <si>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</si>
  <si>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</si>
  <si>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</si>
  <si>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</si>
  <si>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</si>
  <si>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</si>
  <si>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</si>
  <si>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</si>
  <si>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</si>
  <si>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</si>
  <si>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</si>
  <si>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</si>
  <si>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</si>
  <si>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</si>
  <si>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</si>
  <si>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</si>
  <si>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</si>
  <si>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</si>
  <si>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</si>
  <si>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</si>
  <si>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</si>
  <si>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</si>
  <si>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</si>
  <si>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</si>
  <si>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</si>
  <si>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</si>
  <si>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</si>
  <si>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</si>
  <si>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</si>
  <si>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</si>
  <si>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</si>
  <si>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</si>
  <si>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</si>
  <si>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</si>
  <si>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</si>
  <si>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</si>
  <si>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</si>
  <si>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</si>
  <si>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</si>
  <si>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</si>
  <si>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</si>
  <si>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</si>
  <si>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</si>
  <si>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</si>
  <si>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</si>
  <si>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</si>
  <si>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</si>
  <si>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</si>
  <si>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</si>
  <si>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</si>
  <si>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</si>
  <si>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</si>
  <si>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</si>
  <si>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</si>
  <si>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</si>
  <si>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</si>
  <si>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</si>
  <si>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</si>
  <si>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</si>
  <si>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</si>
  <si>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</si>
  <si>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</si>
  <si>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</si>
  <si>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</si>
  <si>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</si>
  <si>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</si>
  <si>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</si>
  <si>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</si>
  <si>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</si>
  <si>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</si>
  <si>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</si>
  <si>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</si>
  <si>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</si>
  <si>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</si>
  <si>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</si>
  <si>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</si>
  <si>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</si>
  <si>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</si>
  <si>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</si>
  <si>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</si>
  <si>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</si>
  <si>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</si>
  <si>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</si>
  <si>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</si>
  <si>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</si>
  <si>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</si>
  <si>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</si>
  <si>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</si>
  <si>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</si>
  <si>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</si>
  <si>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</si>
  <si>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</si>
  <si>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</si>
  <si>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</si>
  <si>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</si>
  <si>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</si>
  <si>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</si>
  <si>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</si>
  <si>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</si>
  <si>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</si>
  <si>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</si>
  <si>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</si>
  <si>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</si>
  <si>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</si>
  <si>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</si>
  <si>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</si>
  <si>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</si>
  <si>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</si>
  <si>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</si>
  <si>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</si>
  <si>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</si>
  <si>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</si>
  <si>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</si>
  <si>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</si>
  <si>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</si>
  <si>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</si>
  <si>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</si>
  <si>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</si>
  <si>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</si>
  <si>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</si>
  <si>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</si>
  <si>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</si>
  <si>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</si>
  <si>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</si>
  <si>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</si>
  <si>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</si>
  <si>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</si>
  <si>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</si>
  <si>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</si>
  <si>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</si>
  <si>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</si>
  <si>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</si>
  <si>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</si>
  <si>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</si>
  <si>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</si>
  <si>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</si>
  <si>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</si>
  <si>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</si>
  <si>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</si>
  <si>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</si>
  <si>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</si>
  <si>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</si>
  <si>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</si>
  <si>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</si>
  <si>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</si>
  <si>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</si>
  <si>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</si>
  <si>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</si>
  <si>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</si>
  <si>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</si>
  <si>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</si>
  <si>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</si>
  <si>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</si>
  <si>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</si>
  <si>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</si>
  <si>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</si>
  <si>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</si>
  <si>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</si>
  <si>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</si>
  <si>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</si>
  <si>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</si>
  <si>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</si>
  <si>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</si>
  <si>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</si>
  <si>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</si>
  <si>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</si>
  <si>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</si>
  <si>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</si>
  <si>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</si>
  <si>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</si>
  <si>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</si>
  <si>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</si>
  <si>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</si>
  <si>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</si>
  <si>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</si>
  <si>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</si>
  <si>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</si>
  <si>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</si>
  <si>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</si>
  <si>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</si>
  <si>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</si>
  <si>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</si>
  <si>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</si>
  <si>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</si>
  <si>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</si>
  <si>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</si>
  <si>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</si>
  <si>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</si>
  <si>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</si>
  <si>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</si>
  <si>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</si>
  <si>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</si>
  <si>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</si>
  <si>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</si>
  <si>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</si>
  <si>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</si>
  <si>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</si>
  <si>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</si>
  <si>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</si>
  <si>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</si>
  <si>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</si>
  <si>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</si>
  <si>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</si>
  <si>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</si>
  <si>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</si>
  <si>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</si>
  <si>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</si>
  <si>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</si>
  <si>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</si>
  <si>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</si>
  <si>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</si>
  <si>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</si>
  <si>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</si>
  <si>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</si>
  <si>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</si>
  <si>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</si>
  <si>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</si>
  <si>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</si>
  <si>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</si>
  <si>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</si>
  <si>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</si>
  <si>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</si>
  <si>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</si>
  <si>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</si>
  <si>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</si>
  <si>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</si>
  <si>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</si>
  <si>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</si>
  <si>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</si>
  <si>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</si>
  <si>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</si>
  <si>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</si>
  <si>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</si>
  <si>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</si>
  <si>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</si>
  <si>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</si>
  <si>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</si>
  <si>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</si>
  <si>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</si>
  <si>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</si>
  <si>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</si>
  <si>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</si>
  <si>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</si>
  <si>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</si>
  <si>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</si>
  <si>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</si>
  <si>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</si>
  <si>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</si>
  <si>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</si>
  <si>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</si>
  <si>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</si>
  <si>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</si>
  <si>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</si>
  <si>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</si>
  <si>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</si>
  <si>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</si>
  <si>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</si>
  <si>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</si>
  <si>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</si>
  <si>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</si>
  <si>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</si>
  <si>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</si>
  <si>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</si>
  <si>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</si>
  <si>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</si>
  <si>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</si>
  <si>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</si>
  <si>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</si>
  <si>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</si>
  <si>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</si>
  <si>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</si>
  <si>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</si>
  <si>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</si>
  <si>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</si>
  <si>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</si>
  <si>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</si>
  <si>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</si>
  <si>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</si>
  <si>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</si>
  <si>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</si>
  <si>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</si>
  <si>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</si>
  <si>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</si>
  <si>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</si>
  <si>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</si>
  <si>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</si>
  <si>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</si>
  <si>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</si>
  <si>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</si>
  <si>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</si>
  <si>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</si>
  <si>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</si>
  <si>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</si>
  <si>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</si>
  <si>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</si>
  <si>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</si>
  <si>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</si>
  <si>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</si>
  <si>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</si>
  <si>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</si>
  <si>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</si>
  <si>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</si>
  <si>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</si>
  <si>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</si>
  <si>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</si>
  <si>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</si>
  <si>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</si>
  <si>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</si>
  <si>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</si>
  <si>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</si>
  <si>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</si>
  <si>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</si>
  <si>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</si>
  <si>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</si>
  <si>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</si>
  <si>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</si>
  <si>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</si>
  <si>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</si>
  <si>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</si>
  <si>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</si>
  <si>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</si>
  <si>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</si>
  <si>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</si>
  <si>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</si>
  <si>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</si>
  <si>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</si>
  <si>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</si>
  <si>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</si>
  <si>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</si>
  <si>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</si>
  <si>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</si>
  <si>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</si>
  <si>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</si>
  <si>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</si>
  <si>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</si>
  <si>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</si>
  <si>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</si>
  <si>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</si>
  <si>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</si>
  <si>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</si>
  <si>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</si>
  <si>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</si>
  <si>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</si>
  <si>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</si>
  <si>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</si>
  <si>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</si>
  <si>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</si>
  <si>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</si>
  <si>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</si>
  <si>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</si>
  <si>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</si>
  <si>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</si>
  <si>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</si>
  <si>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</si>
  <si>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</si>
  <si>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</si>
  <si>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</si>
  <si>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</si>
  <si>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</si>
  <si>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</si>
  <si>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</si>
  <si>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</si>
  <si>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</si>
  <si>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</si>
  <si>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</si>
  <si>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</si>
  <si>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</si>
  <si>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</si>
  <si>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</si>
  <si>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</si>
  <si>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</si>
  <si>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</si>
  <si>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</si>
  <si>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</si>
  <si>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</si>
  <si>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</si>
  <si>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</si>
  <si>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</si>
  <si>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</si>
  <si>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</si>
  <si>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</si>
  <si>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</si>
  <si>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</si>
  <si>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</si>
  <si>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</si>
  <si>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</si>
  <si>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</si>
  <si>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</si>
  <si>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</si>
  <si>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</si>
  <si>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</si>
  <si>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</si>
  <si>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</si>
  <si>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</si>
  <si>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</si>
  <si>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</si>
  <si>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</si>
  <si>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</si>
  <si>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</si>
  <si>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</si>
  <si>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</si>
  <si>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</si>
  <si>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</si>
  <si>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</si>
  <si>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</si>
  <si>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</si>
  <si>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</si>
  <si>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</si>
  <si>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</si>
  <si>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</si>
  <si>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</si>
  <si>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</si>
  <si>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</si>
  <si>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</si>
  <si>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</si>
  <si>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</si>
  <si>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</si>
  <si>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</si>
  <si>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</si>
  <si>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</si>
  <si>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</si>
  <si>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</si>
  <si>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</si>
  <si>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</si>
  <si>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</si>
  <si>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</si>
  <si>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</si>
  <si>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</si>
  <si>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</si>
  <si>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</si>
  <si>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</si>
  <si>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</si>
  <si>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</si>
  <si>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</si>
  <si>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</si>
  <si>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</si>
  <si>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</si>
  <si>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</si>
  <si>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</si>
  <si>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</si>
  <si>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</si>
  <si>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</si>
  <si>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</si>
  <si>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</si>
  <si>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</si>
  <si>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</si>
  <si>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</si>
  <si>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</si>
  <si>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</si>
  <si>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</si>
  <si>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</si>
  <si>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</si>
  <si>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</si>
  <si>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</si>
  <si>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</si>
  <si>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</si>
  <si>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</si>
  <si>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</si>
  <si>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</si>
  <si>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</si>
  <si>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</si>
  <si>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</si>
  <si>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</si>
  <si>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</si>
  <si>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</si>
  <si>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</si>
  <si>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</si>
  <si>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</si>
  <si>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</si>
  <si>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</si>
  <si>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</si>
  <si>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</si>
  <si>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</si>
  <si>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</si>
  <si>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</si>
  <si>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</si>
  <si>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</si>
  <si>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</si>
  <si>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</si>
  <si>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</si>
  <si>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</si>
  <si>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</si>
  <si>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</si>
  <si>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</si>
  <si>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</si>
  <si>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</si>
  <si>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</si>
  <si>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</si>
  <si>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</si>
  <si>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</si>
  <si>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</si>
  <si>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</si>
  <si>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</si>
  <si>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</si>
  <si>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</si>
  <si>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</si>
  <si>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</si>
  <si>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</si>
  <si>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</si>
  <si>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</si>
  <si>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</si>
  <si>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</si>
  <si>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</si>
  <si>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</si>
  <si>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</si>
  <si>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</si>
  <si>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</si>
  <si>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</si>
  <si>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</si>
  <si>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</si>
  <si>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</si>
  <si>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</si>
  <si>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</si>
  <si>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</si>
  <si>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</si>
  <si>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</si>
  <si>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</si>
  <si>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</si>
  <si>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</si>
  <si>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</si>
  <si>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</si>
  <si>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</si>
  <si>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</si>
  <si>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</si>
  <si>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</si>
  <si>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</si>
  <si>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</si>
  <si>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</si>
  <si>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</si>
  <si>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</si>
  <si>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</si>
  <si>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</si>
  <si>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</si>
  <si>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</si>
  <si>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</si>
  <si>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</si>
  <si>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</si>
  <si>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</si>
  <si>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</si>
  <si>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</si>
  <si>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</si>
  <si>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</si>
  <si>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</si>
  <si>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</si>
  <si>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</si>
  <si>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</si>
  <si>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</si>
  <si>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</si>
  <si>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</si>
  <si>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</si>
  <si>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</si>
  <si>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</si>
  <si>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</si>
  <si>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</si>
  <si>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</si>
  <si>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</si>
  <si>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</si>
  <si>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</si>
  <si>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</si>
  <si>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</si>
  <si>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</si>
  <si>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</si>
  <si>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</si>
  <si>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</si>
  <si>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</si>
  <si>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</si>
  <si>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</si>
  <si>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</si>
  <si>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</si>
  <si>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</si>
  <si>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</si>
  <si>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</si>
  <si>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</si>
  <si>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</si>
  <si>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</si>
  <si>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</si>
  <si>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</si>
  <si>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</si>
  <si>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</si>
  <si>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</si>
  <si>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</si>
  <si>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</si>
  <si>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</si>
  <si>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</si>
  <si>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</si>
  <si>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</si>
  <si>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</si>
  <si>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</si>
  <si>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</si>
  <si>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</si>
  <si>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</si>
  <si>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</si>
  <si>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</si>
  <si>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</si>
  <si>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</si>
  <si>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</si>
  <si>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</si>
  <si>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</si>
  <si>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</si>
  <si>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</si>
  <si>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</si>
  <si>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</si>
  <si>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</si>
  <si>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</si>
  <si>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</si>
  <si>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</si>
  <si>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</si>
  <si>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</si>
  <si>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</si>
  <si>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</si>
  <si>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</si>
  <si>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</si>
  <si>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</si>
  <si>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</si>
  <si>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</si>
  <si>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</si>
  <si>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</si>
  <si>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</si>
  <si>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</si>
  <si>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</si>
  <si>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</si>
  <si>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</si>
  <si>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</si>
  <si>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</si>
  <si>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</si>
  <si>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</si>
  <si>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</si>
  <si>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</si>
  <si>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</si>
  <si>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</si>
  <si>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</si>
  <si>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</si>
  <si>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</si>
  <si>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</si>
  <si>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</si>
  <si>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</si>
  <si>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</si>
  <si>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</si>
  <si>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</si>
  <si>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</si>
  <si>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</si>
  <si>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</si>
  <si>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</si>
  <si>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</si>
  <si>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</si>
  <si>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</si>
  <si>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</si>
  <si>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</si>
  <si>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</si>
  <si>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</si>
  <si>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</si>
  <si>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</si>
  <si>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</si>
  <si>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</si>
  <si>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</si>
  <si>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</si>
  <si>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</si>
  <si>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</si>
  <si>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</si>
  <si>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</si>
  <si>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</si>
  <si>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</si>
  <si>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</si>
  <si>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</si>
  <si>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</si>
  <si>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</si>
  <si>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</si>
  <si>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</si>
  <si>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</si>
  <si>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</si>
  <si>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</si>
  <si>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</si>
  <si>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</si>
  <si>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</si>
  <si>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</si>
  <si>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</si>
  <si>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</si>
  <si>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</si>
  <si>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</si>
  <si>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</si>
  <si>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</si>
  <si>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</si>
  <si>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</si>
  <si>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</si>
  <si>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</si>
  <si>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</si>
  <si>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</si>
  <si>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</si>
  <si>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</si>
  <si>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</si>
  <si>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</si>
  <si>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</si>
  <si>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</si>
  <si>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</si>
  <si>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</si>
  <si>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</si>
  <si>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</si>
  <si>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</si>
  <si>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</si>
  <si>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</si>
  <si>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</si>
  <si>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</si>
  <si>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</si>
  <si>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</si>
  <si>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</si>
  <si>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</si>
  <si>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</si>
  <si>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</si>
  <si>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</si>
  <si>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</si>
  <si>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</si>
  <si>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</si>
  <si>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</si>
  <si>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</si>
  <si>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</si>
  <si>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</si>
  <si>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</si>
  <si>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</si>
  <si>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</si>
  <si>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</si>
  <si>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</si>
  <si>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</si>
  <si>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</si>
  <si>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</si>
  <si>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</si>
  <si>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</si>
  <si>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</si>
  <si>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</si>
  <si>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</si>
  <si>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</si>
  <si>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</si>
  <si>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</si>
  <si>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</si>
  <si>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</si>
  <si>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</si>
  <si>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</si>
  <si>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</si>
  <si>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</si>
  <si>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</si>
  <si>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</si>
  <si>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</si>
  <si>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</si>
  <si>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</si>
  <si>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</si>
  <si>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</si>
  <si>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</si>
  <si>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</si>
  <si>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</si>
  <si>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</si>
  <si>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</si>
  <si>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</si>
  <si>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</si>
  <si>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</si>
  <si>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</si>
  <si>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</si>
  <si>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</si>
  <si>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</si>
  <si>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</si>
  <si>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</si>
  <si>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</si>
  <si>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</si>
  <si>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</si>
  <si>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</si>
  <si>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</si>
  <si>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</si>
  <si>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</si>
  <si>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</si>
  <si>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</si>
  <si>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</si>
  <si>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</si>
  <si>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</si>
  <si>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</si>
  <si>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</si>
  <si>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</si>
  <si>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</si>
  <si>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</si>
  <si>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</si>
  <si>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</si>
  <si>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</si>
  <si>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</si>
  <si>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</si>
  <si>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</si>
  <si>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</si>
  <si>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</si>
  <si>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</si>
  <si>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</si>
  <si>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</si>
  <si>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</si>
  <si>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</si>
  <si>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</si>
  <si>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</si>
  <si>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</si>
  <si>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</si>
  <si>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</si>
  <si>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</si>
  <si>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</si>
  <si>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</si>
  <si>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</si>
  <si>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</si>
  <si>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</si>
  <si>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</si>
  <si>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</si>
  <si>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</si>
  <si>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</si>
  <si>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</si>
  <si>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</si>
  <si>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</si>
  <si>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</si>
  <si>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</si>
  <si>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</si>
  <si>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</si>
  <si>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</si>
  <si>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</si>
  <si>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</si>
  <si>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</si>
  <si>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</si>
  <si>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</si>
  <si>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</si>
  <si>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</si>
  <si>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</si>
  <si>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</si>
  <si>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</si>
  <si>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</si>
  <si>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</si>
  <si>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</si>
  <si>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</si>
  <si>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</si>
  <si>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</si>
  <si>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</si>
  <si>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</si>
  <si>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</si>
  <si>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</si>
  <si>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</si>
  <si>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</si>
  <si>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</si>
  <si>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</si>
  <si>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</si>
  <si>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</si>
  <si>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</si>
  <si>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</si>
  <si>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</si>
  <si>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</si>
  <si>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</si>
  <si>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</si>
  <si>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</si>
  <si>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</si>
  <si>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</si>
  <si>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</si>
  <si>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</si>
  <si>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</si>
  <si>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</si>
  <si>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</si>
  <si>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</si>
  <si>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</si>
  <si>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</si>
  <si>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</si>
  <si>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</si>
  <si>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</si>
  <si>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</si>
  <si>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</si>
  <si>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</si>
  <si>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</si>
  <si>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</si>
  <si>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</si>
  <si>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</si>
  <si>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</si>
  <si>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</si>
  <si>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</si>
  <si>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</si>
  <si>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</si>
  <si>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</si>
  <si>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</si>
  <si>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</si>
  <si>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</si>
  <si>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</si>
  <si>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</si>
  <si>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</si>
  <si>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</si>
  <si>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</si>
  <si>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</si>
  <si>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</si>
  <si>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</si>
  <si>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</si>
  <si>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</si>
  <si>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</si>
  <si>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</si>
  <si>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</si>
  <si>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</si>
  <si>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</si>
  <si>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</si>
  <si>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</si>
  <si>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</si>
  <si>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</si>
  <si>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</si>
  <si>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</si>
  <si>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</si>
  <si>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</si>
  <si>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</si>
  <si>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</si>
  <si>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</si>
  <si>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</si>
  <si>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</si>
  <si>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</si>
  <si>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</si>
  <si>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</si>
  <si>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</si>
  <si>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</si>
  <si>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</si>
  <si>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</si>
  <si>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</si>
  <si>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</si>
  <si>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</si>
  <si>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</si>
  <si>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</si>
  <si>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</si>
  <si>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</si>
  <si>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</si>
  <si>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</si>
  <si>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</si>
  <si>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</si>
  <si>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</si>
  <si>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</si>
  <si>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</si>
  <si>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</si>
  <si>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</si>
  <si>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</si>
  <si>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</si>
  <si>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</si>
  <si>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</si>
  <si>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</si>
  <si>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</si>
  <si>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</si>
  <si>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</si>
  <si>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</si>
  <si>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</si>
  <si>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</si>
  <si>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</si>
  <si>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</si>
  <si>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</si>
  <si>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</si>
  <si>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</si>
  <si>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</si>
  <si>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</si>
  <si>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</si>
  <si>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</si>
  <si>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</si>
  <si>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</si>
  <si>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</si>
  <si>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</si>
  <si>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</si>
  <si>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</si>
  <si>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</si>
  <si>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</si>
  <si>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</si>
  <si>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</si>
  <si>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</si>
  <si>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</si>
  <si>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</si>
  <si>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</si>
  <si>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</si>
  <si>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</si>
  <si>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</si>
  <si>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</si>
  <si>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</si>
  <si>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</si>
  <si>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</si>
  <si>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</si>
  <si>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</si>
  <si>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</si>
  <si>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</si>
  <si>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</si>
  <si>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</si>
  <si>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</si>
  <si>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</si>
  <si>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</si>
  <si>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</si>
  <si>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</si>
  <si>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</si>
  <si>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</si>
  <si>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</si>
  <si>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</si>
  <si>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</si>
  <si>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</si>
  <si>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</si>
  <si>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</si>
  <si>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</si>
  <si>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</si>
  <si>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</si>
  <si>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</si>
  <si>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</si>
  <si>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</si>
  <si>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</si>
  <si>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</si>
  <si>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</si>
  <si>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</si>
  <si>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</si>
  <si>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</si>
  <si>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</si>
  <si>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</si>
  <si>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</si>
  <si>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</si>
  <si>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</si>
  <si>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</si>
  <si>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</si>
  <si>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</si>
  <si>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</si>
  <si>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</si>
  <si>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</si>
  <si>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</si>
  <si>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</si>
  <si>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</si>
  <si>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</si>
  <si>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</si>
  <si>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</si>
  <si>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</si>
  <si>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</si>
  <si>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</si>
  <si>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</si>
  <si>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</si>
  <si>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</si>
  <si>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</si>
  <si>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</si>
  <si>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</si>
  <si>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</si>
  <si>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</si>
  <si>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</si>
  <si>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</si>
  <si>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</si>
  <si>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</si>
  <si>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</si>
  <si>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</si>
  <si>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</si>
  <si>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</si>
  <si>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</si>
  <si>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</si>
  <si>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</si>
  <si>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</si>
  <si>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</si>
  <si>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</si>
  <si>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</si>
  <si>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</si>
  <si>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</si>
  <si>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</si>
  <si>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</si>
  <si>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</si>
  <si>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</si>
  <si>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</si>
  <si>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</si>
  <si>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</si>
  <si>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</si>
  <si>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</si>
  <si>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</si>
  <si>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</si>
  <si>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</si>
  <si>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</si>
  <si>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</si>
  <si>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</si>
  <si>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</si>
  <si>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</si>
  <si>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</si>
  <si>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</si>
  <si>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</si>
  <si>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</si>
  <si>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</si>
  <si>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</si>
  <si>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</si>
  <si>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</si>
  <si>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</si>
  <si>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</si>
  <si>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</si>
  <si>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</si>
  <si>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</si>
  <si>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</si>
  <si>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</si>
  <si>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</si>
  <si>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</si>
  <si>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</si>
  <si>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</si>
  <si>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</si>
  <si>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</si>
  <si>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</si>
  <si>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</si>
  <si>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</si>
  <si>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</si>
  <si>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</si>
  <si>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</si>
  <si>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</si>
  <si>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</si>
  <si>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</si>
  <si>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</si>
  <si>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</si>
  <si>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</si>
  <si>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</si>
  <si>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</si>
  <si>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</si>
  <si>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</si>
  <si>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</si>
  <si>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</si>
  <si>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</si>
  <si>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</si>
  <si>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</si>
  <si>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</si>
  <si>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</si>
  <si>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</si>
  <si>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</si>
  <si>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</si>
  <si>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</si>
  <si>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</si>
  <si>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</si>
  <si>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</si>
  <si>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</si>
  <si>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</si>
  <si>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</si>
  <si>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</si>
  <si>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</si>
  <si>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</si>
  <si>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</si>
  <si>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</si>
  <si>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</si>
  <si>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</si>
  <si>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</si>
  <si>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</si>
  <si>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</si>
  <si>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</si>
  <si>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</si>
  <si>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</si>
  <si>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</si>
  <si>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</si>
  <si>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</si>
  <si>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</si>
  <si>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</si>
  <si>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</si>
  <si>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</si>
  <si>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</si>
  <si>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</si>
  <si>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</si>
  <si>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</si>
  <si>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</si>
  <si>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</si>
  <si>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</si>
  <si>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</si>
  <si>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</si>
  <si>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</si>
  <si>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</si>
  <si>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</si>
  <si>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</si>
  <si>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</si>
  <si>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</si>
  <si>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</si>
  <si>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</si>
  <si>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</si>
  <si>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</si>
  <si>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</si>
  <si>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</si>
  <si>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</si>
  <si>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</si>
  <si>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</si>
  <si>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</si>
  <si>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</si>
  <si>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</si>
  <si>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</si>
  <si>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</si>
  <si>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</si>
  <si>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</si>
  <si>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</si>
  <si>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</si>
  <si>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</si>
  <si>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</si>
  <si>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</si>
  <si>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</si>
  <si>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</si>
  <si>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</si>
  <si>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</si>
  <si>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</si>
  <si>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</si>
  <si>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</si>
  <si>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</si>
  <si>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</si>
  <si>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</si>
  <si>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</si>
  <si>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</si>
  <si>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</si>
  <si>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</si>
  <si>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</si>
  <si>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</si>
  <si>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</si>
  <si>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</si>
  <si>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</si>
  <si>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</si>
  <si>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</si>
  <si>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</si>
  <si>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</si>
  <si>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</si>
  <si>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</si>
  <si>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</si>
  <si>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</si>
  <si>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</si>
  <si>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</si>
  <si>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</si>
  <si>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</si>
  <si>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</si>
  <si>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</si>
  <si>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</si>
  <si>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</si>
  <si>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</si>
  <si>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</si>
  <si>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</si>
  <si>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</si>
  <si>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</si>
  <si>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</si>
  <si>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</si>
  <si>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</si>
  <si>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</si>
  <si>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</si>
  <si>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</si>
  <si>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</si>
  <si>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</si>
  <si>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</si>
  <si>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</si>
  <si>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</si>
  <si>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</si>
  <si>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</si>
  <si>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</si>
  <si>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</si>
  <si>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</si>
  <si>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</si>
  <si>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</si>
  <si>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</si>
  <si>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</si>
  <si>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</si>
  <si>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</si>
  <si>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</si>
  <si>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</si>
  <si>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</si>
  <si>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</si>
  <si>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</si>
  <si>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</si>
  <si>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</si>
  <si>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</si>
  <si>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</si>
  <si>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</si>
  <si>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</si>
  <si>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</si>
  <si>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</si>
  <si>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</si>
  <si>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</si>
  <si>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</si>
  <si>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</si>
  <si>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</si>
  <si>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</si>
  <si>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</si>
  <si>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</si>
  <si>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</si>
  <si>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</si>
  <si>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</si>
  <si>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</si>
  <si>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</si>
  <si>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</si>
  <si>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</si>
  <si>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</si>
  <si>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</si>
  <si>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</si>
  <si>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</si>
  <si>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</si>
  <si>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</si>
  <si>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</si>
  <si>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</si>
  <si>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</si>
  <si>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</si>
  <si>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</si>
  <si>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</si>
  <si>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</si>
  <si>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</si>
  <si>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</si>
  <si>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</si>
  <si>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</si>
  <si>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</si>
  <si>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</si>
  <si>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</si>
  <si>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</si>
  <si>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</si>
  <si>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</si>
  <si>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</si>
  <si>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</si>
  <si>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</si>
  <si>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</si>
  <si>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</si>
  <si>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</si>
  <si>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</si>
  <si>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</si>
  <si>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</si>
  <si>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</si>
  <si>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</si>
  <si>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</si>
  <si>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</si>
  <si>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</si>
  <si>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</si>
  <si>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</si>
  <si>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</si>
  <si>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</si>
  <si>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</si>
  <si>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</si>
  <si>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</si>
  <si>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</si>
  <si>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</si>
  <si>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</si>
  <si>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</si>
  <si>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</si>
  <si>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</si>
  <si>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</si>
  <si>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</si>
  <si>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</si>
  <si>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</si>
  <si>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</si>
  <si>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</si>
  <si>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</si>
  <si>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</si>
  <si>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</si>
  <si>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</si>
  <si>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</si>
  <si>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</si>
  <si>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</si>
  <si>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</si>
  <si>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</si>
  <si>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</si>
  <si>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</si>
  <si>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</si>
  <si>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</si>
  <si>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</si>
  <si>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</si>
  <si>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</si>
  <si>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</si>
  <si>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</si>
  <si>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</si>
  <si>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</si>
  <si>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</si>
  <si>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</si>
  <si>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</si>
  <si>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</si>
  <si>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</si>
  <si>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</si>
  <si>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</si>
  <si>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</si>
  <si>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</si>
  <si>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</si>
  <si>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</si>
  <si>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</si>
  <si>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</si>
  <si>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</si>
  <si>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</si>
  <si>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</si>
  <si>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</si>
  <si>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</si>
  <si>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</si>
  <si>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</si>
  <si>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</si>
  <si>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</si>
  <si>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</si>
  <si>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</si>
  <si>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</si>
  <si>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</si>
  <si>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</si>
  <si>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</si>
  <si>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</si>
  <si>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</si>
  <si>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</si>
  <si>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</si>
  <si>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</si>
  <si>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</si>
  <si>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</si>
  <si>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</si>
  <si>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</si>
  <si>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</si>
  <si>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</si>
  <si>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</si>
  <si>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</si>
  <si>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</si>
  <si>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</si>
  <si>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</si>
  <si>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</si>
  <si>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</si>
  <si>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</si>
  <si>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</si>
  <si>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</si>
  <si>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</si>
  <si>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</si>
  <si>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</si>
  <si>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</si>
  <si>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</si>
  <si>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</si>
  <si>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</si>
  <si>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</si>
  <si>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</si>
  <si>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</si>
  <si>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</si>
  <si>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</si>
  <si>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</si>
  <si>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</si>
  <si>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</si>
  <si>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</si>
  <si>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</si>
  <si>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</si>
  <si>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</si>
  <si>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</si>
  <si>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</si>
  <si>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</si>
  <si>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</si>
  <si>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</si>
  <si>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</si>
  <si>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</si>
  <si>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</si>
  <si>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</si>
  <si>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</si>
  <si>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</si>
  <si>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</si>
  <si>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</si>
  <si>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</si>
  <si>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</si>
  <si>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</si>
  <si>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</si>
  <si>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</si>
  <si>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</si>
  <si>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</si>
  <si>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</si>
  <si>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</si>
  <si>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</si>
  <si>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</si>
  <si>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</si>
  <si>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</si>
  <si>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</si>
  <si>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</si>
  <si>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</si>
  <si>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</si>
  <si>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</si>
  <si>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</si>
  <si>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</si>
  <si>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</si>
  <si>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</si>
  <si>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</si>
  <si>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</si>
  <si>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</si>
  <si>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</si>
  <si>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</si>
  <si>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</si>
  <si>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</si>
  <si>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</si>
  <si>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</si>
  <si>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</si>
  <si>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</si>
  <si>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</si>
  <si>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</si>
  <si>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</si>
  <si>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</si>
  <si>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</si>
  <si>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</si>
  <si>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</si>
  <si>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</si>
  <si>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</si>
  <si>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</si>
  <si>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</si>
  <si>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</si>
  <si>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</si>
  <si>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</si>
  <si>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</si>
  <si>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</si>
  <si>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</si>
  <si>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</si>
  <si>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</si>
  <si>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</si>
  <si>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</si>
  <si>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</si>
  <si>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</si>
  <si>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</si>
  <si>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</si>
  <si>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</si>
  <si>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</si>
  <si>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</si>
  <si>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</si>
  <si>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</si>
  <si>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</si>
  <si>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</si>
  <si>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</si>
  <si>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</si>
  <si>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</si>
  <si>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</si>
  <si>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</si>
  <si>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</si>
  <si>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</si>
  <si>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</si>
  <si>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</si>
  <si>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</si>
  <si>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</si>
  <si>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</si>
  <si>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</si>
  <si>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</si>
  <si>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</si>
  <si>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</si>
  <si>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</si>
  <si>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</si>
  <si>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</si>
  <si>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</si>
  <si>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</si>
  <si>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</si>
  <si>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</si>
  <si>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</si>
  <si>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</si>
  <si>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</si>
  <si>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</si>
  <si>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</si>
  <si>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</si>
  <si>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</si>
  <si>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</si>
  <si>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</si>
  <si>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</si>
  <si>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</si>
  <si>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</si>
  <si>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</si>
  <si>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</si>
  <si>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</si>
  <si>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</si>
  <si>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</si>
  <si>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</si>
  <si>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</si>
  <si>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</si>
  <si>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</si>
  <si>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</si>
  <si>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</si>
  <si>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</si>
  <si>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</si>
  <si>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</si>
  <si>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</si>
  <si>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</si>
  <si>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</si>
  <si>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</si>
  <si>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</si>
  <si>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</si>
  <si>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</si>
  <si>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</si>
  <si>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</si>
  <si>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</si>
  <si>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</si>
  <si>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</si>
  <si>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</si>
  <si>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</si>
  <si>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</si>
  <si>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</si>
  <si>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</si>
  <si>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</si>
  <si>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</si>
  <si>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</si>
  <si>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</si>
  <si>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</si>
  <si>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</si>
  <si>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</si>
  <si>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</si>
  <si>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</si>
  <si>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</si>
  <si>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</si>
  <si>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</si>
  <si>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</si>
  <si>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</si>
  <si>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</si>
  <si>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</si>
  <si>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</si>
  <si>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</si>
  <si>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</si>
  <si>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</si>
  <si>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</si>
  <si>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</si>
  <si>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</si>
  <si>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</si>
  <si>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</si>
  <si>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</si>
  <si>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</si>
  <si>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</si>
  <si>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</si>
  <si>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</si>
  <si>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</si>
  <si>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</si>
  <si>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</si>
  <si>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</si>
  <si>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</si>
  <si>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</si>
  <si>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</si>
  <si>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</si>
  <si>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</si>
  <si>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</si>
  <si>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</si>
  <si>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</si>
  <si>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</si>
  <si>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</si>
  <si>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</si>
  <si>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</si>
  <si>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</si>
  <si>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</si>
  <si>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</si>
  <si>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</si>
  <si>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</si>
  <si>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</si>
  <si>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</si>
  <si>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</si>
  <si>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</si>
  <si>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</si>
  <si>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</si>
  <si>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</si>
  <si>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</si>
  <si>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</si>
  <si>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</si>
  <si>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</si>
  <si>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</si>
  <si>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</si>
  <si>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</si>
  <si>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</si>
  <si>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</si>
  <si>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</si>
  <si>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</si>
  <si>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</si>
  <si>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</si>
  <si>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</si>
  <si>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</si>
  <si>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</si>
  <si>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</si>
  <si>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</si>
  <si>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</si>
  <si>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</si>
  <si>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</si>
  <si>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</si>
  <si>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</si>
  <si>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</si>
  <si>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</si>
  <si>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</si>
  <si>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</si>
  <si>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</si>
  <si>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</si>
  <si>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</si>
  <si>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</si>
  <si>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</si>
  <si>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</si>
  <si>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</si>
  <si>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</si>
  <si>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</si>
  <si>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</si>
  <si>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</si>
  <si>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</si>
  <si>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</si>
  <si>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</si>
  <si>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</si>
  <si>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</si>
  <si>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</si>
  <si>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</si>
  <si>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</si>
  <si>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</si>
  <si>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</si>
  <si>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</si>
  <si>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</si>
  <si>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</si>
  <si>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</si>
  <si>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</si>
  <si>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</si>
  <si>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</si>
  <si>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</si>
  <si>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</si>
  <si>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</si>
  <si>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</si>
  <si>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</si>
  <si>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</si>
  <si>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</si>
  <si>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</si>
  <si>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</si>
  <si>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</si>
  <si>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</si>
  <si>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</si>
  <si>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</si>
  <si>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</si>
  <si>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</si>
  <si>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</si>
  <si>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</si>
  <si>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</si>
  <si>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</si>
  <si>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</si>
  <si>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</si>
  <si>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</si>
  <si>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</si>
  <si>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</si>
  <si>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</si>
  <si>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</si>
  <si>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</si>
  <si>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</si>
  <si>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</si>
  <si>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</si>
  <si>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</si>
  <si>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</si>
  <si>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</si>
  <si>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</si>
  <si>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</si>
  <si>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</si>
  <si>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</si>
  <si>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</si>
  <si>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</si>
  <si>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</si>
  <si>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</si>
  <si>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</si>
  <si>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</si>
  <si>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</si>
  <si>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</si>
  <si>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</si>
  <si>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</si>
  <si>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</si>
  <si>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</si>
  <si>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</si>
  <si>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</si>
  <si>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</si>
  <si>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</si>
  <si>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</si>
  <si>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</si>
  <si>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</si>
  <si>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</si>
  <si>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</si>
  <si>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</si>
  <si>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</si>
  <si>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</si>
  <si>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</si>
  <si>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</si>
  <si>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</si>
  <si>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</si>
  <si>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</si>
  <si>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</si>
  <si>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</si>
  <si>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</si>
  <si>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</si>
  <si>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</si>
  <si>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</si>
  <si>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</si>
  <si>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</si>
  <si>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</si>
  <si>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</si>
  <si>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</si>
  <si>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</si>
  <si>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</si>
  <si>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</si>
  <si>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</si>
  <si>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</si>
  <si>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</si>
  <si>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</si>
  <si>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</si>
  <si>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</si>
  <si>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</si>
  <si>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</si>
  <si>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</si>
  <si>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</si>
  <si>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</si>
  <si>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</si>
  <si>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</si>
  <si>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</si>
  <si>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</si>
  <si>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</si>
  <si>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</si>
  <si>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</si>
  <si>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</si>
  <si>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</si>
  <si>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</si>
  <si>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</si>
  <si>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</si>
  <si>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</si>
  <si>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</si>
  <si>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</si>
  <si>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</si>
  <si>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</si>
  <si>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</si>
  <si>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</si>
  <si>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</si>
  <si>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</si>
  <si>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</si>
  <si>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</si>
  <si>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</si>
  <si>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</si>
  <si>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</si>
  <si>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</si>
  <si>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</si>
  <si>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</si>
  <si>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</si>
  <si>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</si>
  <si>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</si>
  <si>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</si>
  <si>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</si>
  <si>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</si>
  <si>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</si>
  <si>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</si>
  <si>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</si>
  <si>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</si>
  <si>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</si>
  <si>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</si>
  <si>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</si>
  <si>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</si>
  <si>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</si>
  <si>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</si>
  <si>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</si>
  <si>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</si>
  <si>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</si>
  <si>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</si>
  <si>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</si>
  <si>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</si>
  <si>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</si>
  <si>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</si>
  <si>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</si>
  <si>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</si>
  <si>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</si>
  <si>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</si>
  <si>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</si>
  <si>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</si>
  <si>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</si>
  <si>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</si>
  <si>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</si>
  <si>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</si>
  <si>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</si>
  <si>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</si>
  <si>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</si>
  <si>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</si>
  <si>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</si>
  <si>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</si>
  <si>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</si>
  <si>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</si>
  <si>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</si>
  <si>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</si>
  <si>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</si>
  <si>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</si>
  <si>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</si>
  <si>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</si>
  <si>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</si>
  <si>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</si>
  <si>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</si>
  <si>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</si>
  <si>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</si>
  <si>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</si>
  <si>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</si>
  <si>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</si>
  <si>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</si>
  <si>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</si>
  <si>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</si>
  <si>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</si>
  <si>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</si>
  <si>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</si>
  <si>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</si>
  <si>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</si>
  <si>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</si>
  <si>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</si>
  <si>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</si>
  <si>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</si>
  <si>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</si>
  <si>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</si>
  <si>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</si>
  <si>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</si>
  <si>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</si>
  <si>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</si>
  <si>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</si>
  <si>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</si>
  <si>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</si>
  <si>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</si>
  <si>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</si>
  <si>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</si>
  <si>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</si>
  <si>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</si>
  <si>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</si>
  <si>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</si>
  <si>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</si>
  <si>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</si>
  <si>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</si>
  <si>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</si>
  <si>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</si>
  <si>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</si>
  <si>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</si>
  <si>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</si>
  <si>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</si>
  <si>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</si>
  <si>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</si>
  <si>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</si>
  <si>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</si>
  <si>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</si>
  <si>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</si>
  <si>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</si>
  <si>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</si>
  <si>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</si>
  <si>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</si>
  <si>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</si>
  <si>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</si>
  <si>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</si>
  <si>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</si>
  <si>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</si>
  <si>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</si>
  <si>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</si>
  <si>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</si>
  <si>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</si>
  <si>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</si>
  <si>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</si>
  <si>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</si>
  <si>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</si>
  <si>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</si>
  <si>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</si>
  <si>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</si>
  <si>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</si>
  <si>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</si>
  <si>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</si>
  <si>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</si>
  <si>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</si>
  <si>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</si>
  <si>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</si>
  <si>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</si>
  <si>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</si>
  <si>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</si>
  <si>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</si>
  <si>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</si>
  <si>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</si>
  <si>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</si>
  <si>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</si>
  <si>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</si>
  <si>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</si>
  <si>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</si>
  <si>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</si>
  <si>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</si>
  <si>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</si>
  <si>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</si>
  <si>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</si>
  <si>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</si>
  <si>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</si>
  <si>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</si>
  <si>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</si>
  <si>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</si>
  <si>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</si>
  <si>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</si>
  <si>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</si>
  <si>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</si>
  <si>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</si>
  <si>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</si>
  <si>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</si>
  <si>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</si>
  <si>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</si>
  <si>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</si>
  <si>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</si>
  <si>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</si>
  <si>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</si>
  <si>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</si>
  <si>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</si>
  <si>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</si>
  <si>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</si>
  <si>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</si>
  <si>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</si>
  <si>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</si>
  <si>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</si>
  <si>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</si>
  <si>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</si>
  <si>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</si>
  <si>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</si>
  <si>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</si>
  <si>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</si>
  <si>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</si>
  <si>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</si>
  <si>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</si>
  <si>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</si>
  <si>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</si>
  <si>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</si>
  <si>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</si>
  <si>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</si>
  <si>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</si>
  <si>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</si>
  <si>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</si>
  <si>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</si>
  <si>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</si>
  <si>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</si>
  <si>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</si>
  <si>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</si>
  <si>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</si>
  <si>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</si>
  <si>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</si>
  <si>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</si>
  <si>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</si>
  <si>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</si>
  <si>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</si>
  <si>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</si>
  <si>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</si>
  <si>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</si>
  <si>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</si>
  <si>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</si>
  <si>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</si>
  <si>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</si>
  <si>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</si>
  <si>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</si>
  <si>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</si>
  <si>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</si>
  <si>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</si>
  <si>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</si>
  <si>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</si>
  <si>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</si>
  <si>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</si>
  <si>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</si>
  <si>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</si>
  <si>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</si>
  <si>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</si>
  <si>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</si>
  <si>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</si>
  <si>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</si>
  <si>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</si>
  <si>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</si>
  <si>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</si>
  <si>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</si>
  <si>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</si>
  <si>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</si>
  <si>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</si>
  <si>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</si>
  <si>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</si>
  <si>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</si>
  <si>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</si>
  <si>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</si>
  <si>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</si>
  <si>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</si>
  <si>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</si>
  <si>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</si>
  <si>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</si>
  <si>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</si>
  <si>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</si>
  <si>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</si>
  <si>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</si>
  <si>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</si>
  <si>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</si>
  <si>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</si>
  <si>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</si>
  <si>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</si>
  <si>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</si>
  <si>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</si>
  <si>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</si>
  <si>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</si>
  <si>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</si>
  <si>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</si>
  <si>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</si>
  <si>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</si>
  <si>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</si>
  <si>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</si>
  <si>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</si>
  <si>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</si>
  <si>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</si>
  <si>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</si>
  <si>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</si>
  <si>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</si>
  <si>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</si>
  <si>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</si>
  <si>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</si>
  <si>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</si>
  <si>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</si>
  <si>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</si>
  <si>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</si>
  <si>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</si>
  <si>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</si>
  <si>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</si>
  <si>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</si>
  <si>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</si>
  <si>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</si>
  <si>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</si>
  <si>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</si>
  <si>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</si>
  <si>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</si>
  <si>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</si>
  <si>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</si>
  <si>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</si>
  <si>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</si>
  <si>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</si>
  <si>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</si>
  <si>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</si>
  <si>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</si>
  <si>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</si>
  <si>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</si>
  <si>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</si>
  <si>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</si>
  <si>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</si>
  <si>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</si>
  <si>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</si>
  <si>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</si>
  <si>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</si>
  <si>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</si>
  <si>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</si>
  <si>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</si>
  <si>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</si>
  <si>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</si>
  <si>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</si>
  <si>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</si>
  <si>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</si>
  <si>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</si>
  <si>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</si>
  <si>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</si>
  <si>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</si>
  <si>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</si>
  <si>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</si>
  <si>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</si>
  <si>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</si>
  <si>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</si>
  <si>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</si>
  <si>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</si>
  <si>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</si>
  <si>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</si>
  <si>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</si>
  <si>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</si>
  <si>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</si>
  <si>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</si>
  <si>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</si>
  <si>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</si>
  <si>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</si>
  <si>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</si>
  <si>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</si>
  <si>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</si>
  <si>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</si>
  <si>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</si>
  <si>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</si>
  <si>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</si>
  <si>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</si>
  <si>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</si>
  <si>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</si>
  <si>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</si>
  <si>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</si>
  <si>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</si>
  <si>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</si>
  <si>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</si>
  <si>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</si>
  <si>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</si>
  <si>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</si>
  <si>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</si>
  <si>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</si>
  <si>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</si>
  <si>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</si>
  <si>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</si>
  <si>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</si>
  <si>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</si>
  <si>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</si>
  <si>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</si>
  <si>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</si>
  <si>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</si>
  <si>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</si>
  <si>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</si>
  <si>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</si>
  <si>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</si>
  <si>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</si>
  <si>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</si>
  <si>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</si>
  <si>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</si>
  <si>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</si>
  <si>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</si>
  <si>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</si>
  <si>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</si>
  <si>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</si>
  <si>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</si>
  <si>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</si>
  <si>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</si>
  <si>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</si>
  <si>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</si>
  <si>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</si>
  <si>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</si>
  <si>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</si>
  <si>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</si>
  <si>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</si>
  <si>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</si>
  <si>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</si>
  <si>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</si>
  <si>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</si>
  <si>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</si>
  <si>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</si>
  <si>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</si>
  <si>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</si>
  <si>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</si>
  <si>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</si>
  <si>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</si>
  <si>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</si>
  <si>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</si>
  <si>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</si>
  <si>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</si>
  <si>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</si>
  <si>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</si>
  <si>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</si>
  <si>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</si>
  <si>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</si>
  <si>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</si>
  <si>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</si>
  <si>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</si>
  <si>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</si>
  <si>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</si>
  <si>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</si>
  <si>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</si>
  <si>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</si>
  <si>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</si>
  <si>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</si>
  <si>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</si>
  <si>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</si>
  <si>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</si>
  <si>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</si>
  <si>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</si>
  <si>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</si>
  <si>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</si>
  <si>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</si>
  <si>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</si>
  <si>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</si>
  <si>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</si>
  <si>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</si>
  <si>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</si>
  <si>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</si>
  <si>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</si>
  <si>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</si>
  <si>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</si>
  <si>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</si>
  <si>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</si>
  <si>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</si>
  <si>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</si>
  <si>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</si>
  <si>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</si>
  <si>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</si>
  <si>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</si>
  <si>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</si>
  <si>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</si>
  <si>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</si>
  <si>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</si>
  <si>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</si>
  <si>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</si>
  <si>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</si>
  <si>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</si>
  <si>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</si>
  <si>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</si>
  <si>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</si>
  <si>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</si>
  <si>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</si>
  <si>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</si>
  <si>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</si>
  <si>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</si>
  <si>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</si>
  <si>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</si>
  <si>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</si>
  <si>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</si>
  <si>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</si>
  <si>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</si>
  <si>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</si>
  <si>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</si>
  <si>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</si>
  <si>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</si>
  <si>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</si>
  <si>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</si>
  <si>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</si>
  <si>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</si>
  <si>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</si>
  <si>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</si>
  <si>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</si>
  <si>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</si>
  <si>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</si>
  <si>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</si>
  <si>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</si>
  <si>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</si>
  <si>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</si>
  <si>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</si>
  <si>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</si>
  <si>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</si>
  <si>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</si>
  <si>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</si>
  <si>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</si>
  <si>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</si>
  <si>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</si>
  <si>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</si>
  <si>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</si>
  <si>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</si>
  <si>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</si>
  <si>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</si>
  <si>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</si>
  <si>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</si>
  <si>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</si>
  <si>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</si>
  <si>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</si>
  <si>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</si>
  <si>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</si>
  <si>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</si>
  <si>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</si>
  <si>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</si>
  <si>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</si>
  <si>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</si>
  <si>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</si>
  <si>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</si>
  <si>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</si>
  <si>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</si>
  <si>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</si>
  <si>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</si>
  <si>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</si>
  <si>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</si>
  <si>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</si>
  <si>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</si>
  <si>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</si>
  <si>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</si>
  <si>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</si>
  <si>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</si>
  <si>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</si>
  <si>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</si>
  <si>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</si>
  <si>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</si>
  <si>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</si>
  <si>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</si>
  <si>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</si>
  <si>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</si>
  <si>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</si>
  <si>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</si>
  <si>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</si>
  <si>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</si>
  <si>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</si>
  <si>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</si>
  <si>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</si>
  <si>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</si>
  <si>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</si>
  <si>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</si>
  <si>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</si>
  <si>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</si>
  <si>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</si>
  <si>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</si>
  <si>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</si>
  <si>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</si>
  <si>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</si>
  <si>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</si>
  <si>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</si>
  <si>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</si>
  <si>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</si>
  <si>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</si>
  <si>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</si>
  <si>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</si>
  <si>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</si>
  <si>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</si>
  <si>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</si>
  <si>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</si>
  <si>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</si>
  <si>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</si>
  <si>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</si>
  <si>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</si>
  <si>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</si>
  <si>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</si>
  <si>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</si>
  <si>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</si>
  <si>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</si>
  <si>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</si>
  <si>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</si>
  <si>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</si>
  <si>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</si>
  <si>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</si>
  <si>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</si>
  <si>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</si>
  <si>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</si>
  <si>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</si>
  <si>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</si>
  <si>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</si>
  <si>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</si>
  <si>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</si>
  <si>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</si>
  <si>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</si>
  <si>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</si>
  <si>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</si>
  <si>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</si>
  <si>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</si>
  <si>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</si>
  <si>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</si>
  <si>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</si>
  <si>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</si>
  <si>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</si>
  <si>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</si>
  <si>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</si>
  <si>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</si>
  <si>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</si>
  <si>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</si>
  <si>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</si>
  <si>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</si>
  <si>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</si>
  <si>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</si>
  <si>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</si>
  <si>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</si>
  <si>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</si>
  <si>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</si>
  <si>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</si>
  <si>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</si>
  <si>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</si>
  <si>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</si>
  <si>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</si>
  <si>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</si>
  <si>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</si>
  <si>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</si>
  <si>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</si>
  <si>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</si>
  <si>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</si>
  <si>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</si>
  <si>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</si>
  <si>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</si>
  <si>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</si>
  <si>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</si>
  <si>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</si>
  <si>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</si>
  <si>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</si>
  <si>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</si>
  <si>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</si>
  <si>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</si>
  <si>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</si>
  <si>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</si>
  <si>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</si>
  <si>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</si>
  <si>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</si>
  <si>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</si>
  <si>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</si>
  <si>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</si>
  <si>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</si>
  <si>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</si>
  <si>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</si>
  <si>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</si>
  <si>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</si>
  <si>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</si>
  <si>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</si>
  <si>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</si>
  <si>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</si>
  <si>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</si>
  <si>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</si>
  <si>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</si>
  <si>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</si>
  <si>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</si>
  <si>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</si>
  <si>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</si>
  <si>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</si>
  <si>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</si>
  <si>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</si>
  <si>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</si>
  <si>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</si>
  <si>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</si>
  <si>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</si>
  <si>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</si>
  <si>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</si>
  <si>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</si>
  <si>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</si>
  <si>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</si>
  <si>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</si>
  <si>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</si>
  <si>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</si>
  <si>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</si>
  <si>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</si>
  <si>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</si>
  <si>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</si>
  <si>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</si>
  <si>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</si>
  <si>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</si>
  <si>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</si>
  <si>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</si>
  <si>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</si>
  <si>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</si>
  <si>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</si>
  <si>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</si>
  <si>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</si>
  <si>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</si>
  <si>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</si>
  <si>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</si>
  <si>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</si>
  <si>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</si>
  <si>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</si>
  <si>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</si>
  <si>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</si>
  <si>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</si>
  <si>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</si>
  <si>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</si>
  <si>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</si>
  <si>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</si>
  <si>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</si>
  <si>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</si>
  <si>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</si>
  <si>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</si>
  <si>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</si>
  <si>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</si>
  <si>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</si>
  <si>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</si>
  <si>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</si>
  <si>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</si>
  <si>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</si>
  <si>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</si>
  <si>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</si>
  <si>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</si>
  <si>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</si>
  <si>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</si>
  <si>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</si>
  <si>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</si>
  <si>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</si>
  <si>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</si>
  <si>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</si>
  <si>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</si>
  <si>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</si>
  <si>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</si>
  <si>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</si>
  <si>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</si>
  <si>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</si>
  <si>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</si>
  <si>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</si>
  <si>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</si>
  <si>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</si>
  <si>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</si>
  <si>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</si>
  <si>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</si>
  <si>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</si>
  <si>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</si>
  <si>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</si>
  <si>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</si>
  <si>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</si>
  <si>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</si>
  <si>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</si>
  <si>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</si>
  <si>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</si>
  <si>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</si>
  <si>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</si>
  <si>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</si>
  <si>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</si>
  <si>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</si>
  <si>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</si>
  <si>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</si>
  <si>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</si>
  <si>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</si>
  <si>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</si>
  <si>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</si>
  <si>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</si>
  <si>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</si>
  <si>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</si>
  <si>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</si>
  <si>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</si>
  <si>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</si>
  <si>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</si>
  <si>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</si>
  <si>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</si>
  <si>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</si>
  <si>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</si>
  <si>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</si>
  <si>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</si>
  <si>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</si>
  <si>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</si>
  <si>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</si>
  <si>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</si>
  <si>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</si>
  <si>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</si>
  <si>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</si>
  <si>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</si>
  <si>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</si>
  <si>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</si>
  <si>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</si>
  <si>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</si>
  <si>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</si>
  <si>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</si>
  <si>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</si>
  <si>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</si>
  <si>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</si>
  <si>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</si>
  <si>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</si>
  <si>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</si>
  <si>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</si>
  <si>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</si>
  <si>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</si>
  <si>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</si>
  <si>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</si>
  <si>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</si>
  <si>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</si>
  <si>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</si>
  <si>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</si>
  <si>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</si>
  <si>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</si>
  <si>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</si>
  <si>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</si>
  <si>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</si>
  <si>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</si>
  <si>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</si>
  <si>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</si>
  <si>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</si>
  <si>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</si>
  <si>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</si>
  <si>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</si>
  <si>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</si>
  <si>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</si>
  <si>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</si>
  <si>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</si>
  <si>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</si>
  <si>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</si>
  <si>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</si>
  <si>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</si>
  <si>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</si>
  <si>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</si>
  <si>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</si>
  <si>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</si>
  <si>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</si>
  <si>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</si>
  <si>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</si>
  <si>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</si>
  <si>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</si>
  <si>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</si>
  <si>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</si>
  <si>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</si>
  <si>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</si>
  <si>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</si>
  <si>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</si>
  <si>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</si>
  <si>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</si>
  <si>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</si>
  <si>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</si>
  <si>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</si>
  <si>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</si>
  <si>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</si>
  <si>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</si>
  <si>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</si>
  <si>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</si>
  <si>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</si>
  <si>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</si>
  <si>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</si>
  <si>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</si>
  <si>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</si>
  <si>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</si>
  <si>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</si>
  <si>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</si>
  <si>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</si>
  <si>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</si>
  <si>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</si>
  <si>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</si>
  <si>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</si>
  <si>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</si>
  <si>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</si>
  <si>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</si>
  <si>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</si>
  <si>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</si>
  <si>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</si>
  <si>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</si>
  <si>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</si>
  <si>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</si>
  <si>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</si>
  <si>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</si>
  <si>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</si>
  <si>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</si>
  <si>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</si>
  <si>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</si>
  <si>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</si>
  <si>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</si>
  <si>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</si>
  <si>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</si>
  <si>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</si>
  <si>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</si>
  <si>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</si>
  <si>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</si>
  <si>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</si>
  <si>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</si>
  <si>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</si>
  <si>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</si>
  <si>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</si>
  <si>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</si>
  <si>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</si>
  <si>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</si>
  <si>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</si>
  <si>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</si>
  <si>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</si>
  <si>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</si>
  <si>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</si>
  <si>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</si>
  <si>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</si>
  <si>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</si>
  <si>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</si>
  <si>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</si>
  <si>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</si>
  <si>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</si>
  <si>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</si>
  <si>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</si>
  <si>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</si>
  <si>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</si>
  <si>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</si>
  <si>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</si>
  <si>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</si>
  <si>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</si>
  <si>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</si>
  <si>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</si>
  <si>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</si>
  <si>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</si>
  <si>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</si>
  <si>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</si>
  <si>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</si>
  <si>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</si>
  <si>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</si>
  <si>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</si>
  <si>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</si>
  <si>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</si>
  <si>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</si>
  <si>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</si>
  <si>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</si>
  <si>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</si>
  <si>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</si>
  <si>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</si>
  <si>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</si>
  <si>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</si>
  <si>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</si>
  <si>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</si>
  <si>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</si>
  <si>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</si>
  <si>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</si>
  <si>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</si>
  <si>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</si>
  <si>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</si>
  <si>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</si>
  <si>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</si>
  <si>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</si>
  <si>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</si>
  <si>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</si>
  <si>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</si>
  <si>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</si>
  <si>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</si>
  <si>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</si>
  <si>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</si>
  <si>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</si>
  <si>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</si>
  <si>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</si>
  <si>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</si>
  <si>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</si>
  <si>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</si>
  <si>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</si>
  <si>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</si>
  <si>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</si>
  <si>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</si>
  <si>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</si>
  <si>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</si>
  <si>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</si>
  <si>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</si>
  <si>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</si>
  <si>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</si>
  <si>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</si>
  <si>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</si>
  <si>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</si>
  <si>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</si>
  <si>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</si>
  <si>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</si>
  <si>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</si>
  <si>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</si>
  <si>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</si>
  <si>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</si>
  <si>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</si>
  <si>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</si>
  <si>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</si>
  <si>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</si>
  <si>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</si>
  <si>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</si>
  <si>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</si>
  <si>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</si>
  <si>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</si>
  <si>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</si>
  <si>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</si>
  <si>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</si>
  <si>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</si>
  <si>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</si>
  <si>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</si>
  <si>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</si>
  <si>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</si>
  <si>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</si>
  <si>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</si>
  <si>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</si>
  <si>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</si>
  <si>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</si>
  <si>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</si>
  <si>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</si>
  <si>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</si>
  <si>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</si>
  <si>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</si>
  <si>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</si>
  <si>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</si>
  <si>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</si>
  <si>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</si>
  <si>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</si>
  <si>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</si>
  <si>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</si>
  <si>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</si>
  <si>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</si>
  <si>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</si>
  <si>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</si>
  <si>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</si>
  <si>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</si>
  <si>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</si>
  <si>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</si>
  <si>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</si>
  <si>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</si>
  <si>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</si>
  <si>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</si>
  <si>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</si>
  <si>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</si>
  <si>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</si>
  <si>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</si>
  <si>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</si>
  <si>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</si>
  <si>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</si>
  <si>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</si>
  <si>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</si>
  <si>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</si>
  <si>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</si>
  <si>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</si>
  <si>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</si>
  <si>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</si>
  <si>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</si>
  <si>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</si>
  <si>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</si>
  <si>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</si>
  <si>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</si>
  <si>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</si>
  <si>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</si>
  <si>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</si>
  <si>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</si>
  <si>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</si>
  <si>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</si>
  <si>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</si>
  <si>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</si>
  <si>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</si>
  <si>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</si>
  <si>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</si>
  <si>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</si>
  <si>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</si>
  <si>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</si>
  <si>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</si>
  <si>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</si>
  <si>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</si>
  <si>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</si>
  <si>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</si>
  <si>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</si>
  <si>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</si>
  <si>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</si>
  <si>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</si>
  <si>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</si>
  <si>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</si>
  <si>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</si>
  <si>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</si>
  <si>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</si>
  <si>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</si>
  <si>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</si>
  <si>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</si>
  <si>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</si>
  <si>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</si>
  <si>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</si>
  <si>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</si>
  <si>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</si>
  <si>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</si>
  <si>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</si>
  <si>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</si>
  <si>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</si>
  <si>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</si>
  <si>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</si>
  <si>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</si>
  <si>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</si>
  <si>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</si>
  <si>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</si>
  <si>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</si>
  <si>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</si>
  <si>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</si>
  <si>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</si>
  <si>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</si>
  <si>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</si>
  <si>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</si>
  <si>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</si>
  <si>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</si>
  <si>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</si>
  <si>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</si>
  <si>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</si>
  <si>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</si>
  <si>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</si>
  <si>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</si>
  <si>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</si>
  <si>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</si>
  <si>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</si>
  <si>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</si>
  <si>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</si>
  <si>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</si>
  <si>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</si>
  <si>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</si>
  <si>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</si>
  <si>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</si>
  <si>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</si>
  <si>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</si>
  <si>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</si>
  <si>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</si>
  <si>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</si>
  <si>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</si>
  <si>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</si>
  <si>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</si>
  <si>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</si>
  <si>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</si>
  <si>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</si>
  <si>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</si>
  <si>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</si>
  <si>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</si>
  <si>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</si>
  <si>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</si>
  <si>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</si>
  <si>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</si>
  <si>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</si>
  <si>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</si>
  <si>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</si>
  <si>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</si>
  <si>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</si>
  <si>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</si>
  <si>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</si>
  <si>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</si>
  <si>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</si>
  <si>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</si>
  <si>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</si>
  <si>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</si>
  <si>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</si>
  <si>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</si>
  <si>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</si>
  <si>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</si>
  <si>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</si>
  <si>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</si>
  <si>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</si>
  <si>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</si>
  <si>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</si>
  <si>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</si>
  <si>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</si>
  <si>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</si>
  <si>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</si>
  <si>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</si>
  <si>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</si>
  <si>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</si>
  <si>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</si>
  <si>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</si>
  <si>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</si>
  <si>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</si>
  <si>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</si>
  <si>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</si>
  <si>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</si>
  <si>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</si>
  <si>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</si>
  <si>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</si>
  <si>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</si>
  <si>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</si>
  <si>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</si>
  <si>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</si>
  <si>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</si>
  <si>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</si>
  <si>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</si>
  <si>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</si>
  <si>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</si>
  <si>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</si>
  <si>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</si>
  <si>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</si>
  <si>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</si>
  <si>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</si>
  <si>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</si>
  <si>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</si>
  <si>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</si>
  <si>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</si>
  <si>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</si>
  <si>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</si>
  <si>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</si>
  <si>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</si>
  <si>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</si>
  <si>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</si>
  <si>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</si>
  <si>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</si>
  <si>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</si>
  <si>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</si>
  <si>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</si>
  <si>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</si>
  <si>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</si>
  <si>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</si>
  <si>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</si>
  <si>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</si>
  <si>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</si>
  <si>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</si>
  <si>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</si>
  <si>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</si>
  <si>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</si>
  <si>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</si>
  <si>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</si>
  <si>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</si>
  <si>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</si>
  <si>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</si>
  <si>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</si>
  <si>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</si>
  <si>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</si>
  <si>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</si>
  <si>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</si>
  <si>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</si>
  <si>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</si>
  <si>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</si>
  <si>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</si>
  <si>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</si>
  <si>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</si>
  <si>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</si>
  <si>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</si>
  <si>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</si>
  <si>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</si>
  <si>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</si>
  <si>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</si>
  <si>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</si>
  <si>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</si>
  <si>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</si>
  <si>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</si>
  <si>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</si>
  <si>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</si>
  <si>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</si>
  <si>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</si>
  <si>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</si>
  <si>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</si>
  <si>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</si>
  <si>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</si>
  <si>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</si>
  <si>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</si>
  <si>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</si>
  <si>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</si>
  <si>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</si>
  <si>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</si>
  <si>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</si>
  <si>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</si>
  <si>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</si>
  <si>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</si>
  <si>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</si>
  <si>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</si>
  <si>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</si>
  <si>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</si>
  <si>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</si>
  <si>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</si>
  <si>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</si>
  <si>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</si>
  <si>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</si>
  <si>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</si>
  <si>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</si>
  <si>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</si>
  <si>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</si>
  <si>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</si>
  <si>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</si>
  <si>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</si>
  <si>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</si>
  <si>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</si>
  <si>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</si>
  <si>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</si>
  <si>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</si>
  <si>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</si>
  <si>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</si>
  <si>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</si>
  <si>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</si>
  <si>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</si>
  <si>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</si>
  <si>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</si>
  <si>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</si>
  <si>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</si>
  <si>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</si>
  <si>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</si>
  <si>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</si>
  <si>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</si>
  <si>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</si>
  <si>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</si>
  <si>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</si>
  <si>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</si>
  <si>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</si>
  <si>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</si>
  <si>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</si>
  <si>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</si>
  <si>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</si>
  <si>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</si>
  <si>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</si>
  <si>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</si>
  <si>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</si>
  <si>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</si>
  <si>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</si>
  <si>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</si>
  <si>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</si>
  <si>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</si>
  <si>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</si>
  <si>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</si>
  <si>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</si>
  <si>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</si>
  <si>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</si>
  <si>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</si>
  <si>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</si>
  <si>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</si>
  <si>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</si>
  <si>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</si>
  <si>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</si>
  <si>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</si>
  <si>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</si>
  <si>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</si>
  <si>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</si>
  <si>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</si>
  <si>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</si>
  <si>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</si>
  <si>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</si>
  <si>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</si>
  <si>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</si>
  <si>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</si>
  <si>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</si>
  <si>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</si>
  <si>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</si>
  <si>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</si>
  <si>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</si>
  <si>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</si>
  <si>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</si>
  <si>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</si>
  <si>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</si>
  <si>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</si>
  <si>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</si>
  <si>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</si>
  <si>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</si>
  <si>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</si>
  <si>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</si>
  <si>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</si>
  <si>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</si>
  <si>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</si>
  <si>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</si>
  <si>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</si>
  <si>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</si>
  <si>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</si>
  <si>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</si>
  <si>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</si>
  <si>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</si>
  <si>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</si>
  <si>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</si>
  <si>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</si>
  <si>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</si>
  <si>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</si>
  <si>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</si>
  <si>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</si>
  <si>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</si>
  <si>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</si>
  <si>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</si>
  <si>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</si>
  <si>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</si>
  <si>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</si>
  <si>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</si>
  <si>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</si>
  <si>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</si>
  <si>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</si>
  <si>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</si>
  <si>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</si>
  <si>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</si>
  <si>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</si>
  <si>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</si>
  <si>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</si>
  <si>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</si>
  <si>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</si>
  <si>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</si>
  <si>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</si>
  <si>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</si>
  <si>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</si>
  <si>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</si>
  <si>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</si>
  <si>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</si>
  <si>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</si>
  <si>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</si>
  <si>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</si>
  <si>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</si>
  <si>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</si>
  <si>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</si>
  <si>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</si>
  <si>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</si>
  <si>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</si>
  <si>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</si>
  <si>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</si>
  <si>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</si>
  <si>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</si>
  <si>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</si>
  <si>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</si>
  <si>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</si>
  <si>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</si>
  <si>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</si>
  <si>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</si>
  <si>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</si>
  <si>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</si>
  <si>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</si>
  <si>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</si>
  <si>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</si>
  <si>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</si>
  <si>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</si>
  <si>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</si>
  <si>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</si>
  <si>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</si>
  <si>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</si>
  <si>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</si>
  <si>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</si>
  <si>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</si>
  <si>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</si>
  <si>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</si>
  <si>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</si>
  <si>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</si>
  <si>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</si>
  <si>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</si>
  <si>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</si>
  <si>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</si>
  <si>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</si>
  <si>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</si>
  <si>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</si>
  <si>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</si>
  <si>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</si>
  <si>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</si>
  <si>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</si>
  <si>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</si>
  <si>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</si>
  <si>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</si>
  <si>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</si>
  <si>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</si>
  <si>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</si>
  <si>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</si>
  <si>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</si>
  <si>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</si>
  <si>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</si>
  <si>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</si>
  <si>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</si>
  <si>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</si>
  <si>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</si>
  <si>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</si>
  <si>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</si>
  <si>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</si>
  <si>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</si>
  <si>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</si>
  <si>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</si>
  <si>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</si>
  <si>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</si>
  <si>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</si>
  <si>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</si>
  <si>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</si>
  <si>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</si>
  <si>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</si>
  <si>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</si>
  <si>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</si>
  <si>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</si>
  <si>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</si>
  <si>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</si>
  <si>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</si>
  <si>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</si>
  <si>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</si>
  <si>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</si>
  <si>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</si>
  <si>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</si>
  <si>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</si>
  <si>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</si>
  <si>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</si>
  <si>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</si>
  <si>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</si>
  <si>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</si>
  <si>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</si>
  <si>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</si>
  <si>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</si>
  <si>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</si>
  <si>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</si>
  <si>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</si>
  <si>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</si>
  <si>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</si>
  <si>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</si>
  <si>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</si>
  <si>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</si>
  <si>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</si>
  <si>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</si>
  <si>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</si>
  <si>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</si>
  <si>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</si>
  <si>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</si>
  <si>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</si>
  <si>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</si>
  <si>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</si>
  <si>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</si>
  <si>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</si>
  <si>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</si>
  <si>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</si>
  <si>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</si>
  <si>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</si>
  <si>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</si>
  <si>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</si>
  <si>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</si>
  <si>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</si>
  <si>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</si>
  <si>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</si>
  <si>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</si>
  <si>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</si>
  <si>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</si>
  <si>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</si>
  <si>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</si>
  <si>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</si>
  <si>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</si>
  <si>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</si>
  <si>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</si>
  <si>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</si>
  <si>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</si>
  <si>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</si>
  <si>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</si>
  <si>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</si>
  <si>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</si>
  <si>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</si>
  <si>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</si>
  <si>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</si>
  <si>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</si>
  <si>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</si>
  <si>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</si>
  <si>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</si>
  <si>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</si>
  <si>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</si>
  <si>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</si>
  <si>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</si>
  <si>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</si>
  <si>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</si>
  <si>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</si>
  <si>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</si>
  <si>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</si>
  <si>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</si>
  <si>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</si>
  <si>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</si>
  <si>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</si>
  <si>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</si>
  <si>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</si>
  <si>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</si>
  <si>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</si>
  <si>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</si>
  <si>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</si>
  <si>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</si>
  <si>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</si>
  <si>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</si>
  <si>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</si>
  <si>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</si>
  <si>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</si>
  <si>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</si>
  <si>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</si>
  <si>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</si>
  <si>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</si>
  <si>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</si>
  <si>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</si>
  <si>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</si>
  <si>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</si>
  <si>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</si>
  <si>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</si>
  <si>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</si>
  <si>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</si>
  <si>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</si>
  <si>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</si>
  <si>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</si>
  <si>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</si>
  <si>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</si>
  <si>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</si>
  <si>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</si>
  <si>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</si>
  <si>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</si>
  <si>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</si>
  <si>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</si>
  <si>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</si>
  <si>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</si>
  <si>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</si>
  <si>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</si>
  <si>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</si>
  <si>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</si>
  <si>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</si>
  <si>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</si>
  <si>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</si>
  <si>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</si>
  <si>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</si>
  <si>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</si>
  <si>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</si>
  <si>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</si>
  <si>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</si>
  <si>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</si>
  <si>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</si>
  <si>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</si>
  <si>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</si>
  <si>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</si>
  <si>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</si>
  <si>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</si>
  <si>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</si>
  <si>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</si>
  <si>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</si>
  <si>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</si>
  <si>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</si>
  <si>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</si>
  <si>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</si>
  <si>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</si>
  <si>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</si>
  <si>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</si>
  <si>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</si>
  <si>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</si>
  <si>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</si>
  <si>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</si>
  <si>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</si>
  <si>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</si>
  <si>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</si>
  <si>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</si>
  <si>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</si>
  <si>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</si>
  <si>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</si>
  <si>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</si>
  <si>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</si>
  <si>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</si>
  <si>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</si>
  <si>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</si>
  <si>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</si>
  <si>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</si>
  <si>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</si>
  <si>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</si>
  <si>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</si>
  <si>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</si>
  <si>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</si>
  <si>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</si>
  <si>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</si>
  <si>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</si>
  <si>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</si>
  <si>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</si>
  <si>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</si>
  <si>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</si>
  <si>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</si>
  <si>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</si>
  <si>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</si>
  <si>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</si>
  <si>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</si>
  <si>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</si>
  <si>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</si>
  <si>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</si>
  <si>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</si>
  <si>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</si>
  <si>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</si>
  <si>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</si>
  <si>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</si>
  <si>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</si>
  <si>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</si>
  <si>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</si>
  <si>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</si>
  <si>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</si>
  <si>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</si>
  <si>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</si>
  <si>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</si>
  <si>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</si>
  <si>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</si>
  <si>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</si>
  <si>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</si>
  <si>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</si>
  <si>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</si>
  <si>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</si>
  <si>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</si>
  <si>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</si>
  <si>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</si>
  <si>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</si>
  <si>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</si>
  <si>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</si>
  <si>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</si>
  <si>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</si>
  <si>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</si>
  <si>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</si>
  <si>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</si>
  <si>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</si>
  <si>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</si>
  <si>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</si>
  <si>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</si>
  <si>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</si>
  <si>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</si>
  <si>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</si>
  <si>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</si>
  <si>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</si>
  <si>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</si>
  <si>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</si>
  <si>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</si>
  <si>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</si>
  <si>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</si>
  <si>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</si>
  <si>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</si>
  <si>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</si>
  <si>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</si>
  <si>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</si>
  <si>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</si>
  <si>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</si>
  <si>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</si>
  <si>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</si>
  <si>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</si>
  <si>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</si>
  <si>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</si>
  <si>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</si>
  <si>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</si>
  <si>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</si>
  <si>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</si>
  <si>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</si>
  <si>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</si>
  <si>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</si>
  <si>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</si>
  <si>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</si>
  <si>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</si>
  <si>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</si>
  <si>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</si>
  <si>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</si>
  <si>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</si>
  <si>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</si>
  <si>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</si>
  <si>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</si>
  <si>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</si>
  <si>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</si>
  <si>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</si>
  <si>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</si>
  <si>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</si>
  <si>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</si>
  <si>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</si>
  <si>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</si>
  <si>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</si>
  <si>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</si>
  <si>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</si>
  <si>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</si>
  <si>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</si>
  <si>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</si>
  <si>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</si>
  <si>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</si>
  <si>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</si>
  <si>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</si>
  <si>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</si>
  <si>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</si>
  <si>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</si>
  <si>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</si>
  <si>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</si>
  <si>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</si>
  <si>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</si>
  <si>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</si>
  <si>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</si>
  <si>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</si>
  <si>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</si>
  <si>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</si>
  <si>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</si>
  <si>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</si>
  <si>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</si>
  <si>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</si>
  <si>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</si>
  <si>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</si>
  <si>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</si>
  <si>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</si>
  <si>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</si>
  <si>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</si>
  <si>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</si>
  <si>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</si>
  <si>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</si>
  <si>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</si>
  <si>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</si>
  <si>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</si>
  <si>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</si>
  <si>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</si>
  <si>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</si>
  <si>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</si>
  <si>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</si>
  <si>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</si>
  <si>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</si>
  <si>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</si>
  <si>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</si>
  <si>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</si>
  <si>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</si>
  <si>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</si>
  <si>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</si>
  <si>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</si>
  <si>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</si>
  <si>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</si>
  <si>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</si>
  <si>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</si>
  <si>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</si>
  <si>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</si>
  <si>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</si>
  <si>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</si>
  <si>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</si>
  <si>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</si>
  <si>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</si>
  <si>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</si>
  <si>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</si>
  <si>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</si>
  <si>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</si>
  <si>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</si>
  <si>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</si>
  <si>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</si>
  <si>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</si>
  <si>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</si>
  <si>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</si>
  <si>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</si>
  <si>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</si>
  <si>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</si>
  <si>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</si>
  <si>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</si>
  <si>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</si>
  <si>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</si>
  <si>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</si>
  <si>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</si>
  <si>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</si>
  <si>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</si>
  <si>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</si>
  <si>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</si>
  <si>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</si>
  <si>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</si>
  <si>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</si>
  <si>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</si>
  <si>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</si>
  <si>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</si>
  <si>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</si>
  <si>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</si>
  <si>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</si>
  <si>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</si>
  <si>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</si>
  <si>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</si>
  <si>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</si>
  <si>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</si>
  <si>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</si>
  <si>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</si>
  <si>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</si>
  <si>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</si>
  <si>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</si>
  <si>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</si>
  <si>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</si>
  <si>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</si>
  <si>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</si>
  <si>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</si>
  <si>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</si>
  <si>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</si>
  <si>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</si>
  <si>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</si>
  <si>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</si>
  <si>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</si>
  <si>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</si>
  <si>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</si>
  <si>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</si>
  <si>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</si>
  <si>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</si>
  <si>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</si>
  <si>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</si>
  <si>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</si>
  <si>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</si>
  <si>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</si>
  <si>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</si>
  <si>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</si>
  <si>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</si>
  <si>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</si>
  <si>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</si>
  <si>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</si>
  <si>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</si>
  <si>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</si>
  <si>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</si>
  <si>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</si>
  <si>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</si>
  <si>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</si>
  <si>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</si>
  <si>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</si>
  <si>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</si>
  <si>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</si>
  <si>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</si>
  <si>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</si>
  <si>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</si>
  <si>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</si>
  <si>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</si>
  <si>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</si>
  <si>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</si>
  <si>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</si>
  <si>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</si>
  <si>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</si>
  <si>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</si>
  <si>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</si>
  <si>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</si>
  <si>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</si>
  <si>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</si>
  <si>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</si>
  <si>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</si>
  <si>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</si>
  <si>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</si>
  <si>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</si>
  <si>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</si>
  <si>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</si>
  <si>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</si>
  <si>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</si>
  <si>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</si>
  <si>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</si>
  <si>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</si>
  <si>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</si>
  <si>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</si>
  <si>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</si>
  <si>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</si>
  <si>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</si>
  <si>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</si>
  <si>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</si>
  <si>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</si>
  <si>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</si>
  <si>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</si>
  <si>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</si>
  <si>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</si>
  <si>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</si>
  <si>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</si>
  <si>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</si>
  <si>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</si>
  <si>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</si>
  <si>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</si>
  <si>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</si>
  <si>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</si>
  <si>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</si>
  <si>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</si>
  <si>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</si>
  <si>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</si>
  <si>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</si>
  <si>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</si>
  <si>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</si>
  <si>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</si>
  <si>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</si>
  <si>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</si>
  <si>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</si>
  <si>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</si>
  <si>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</si>
  <si>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</si>
  <si>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</si>
  <si>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</si>
  <si>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</si>
  <si>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</si>
  <si>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</si>
  <si>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</si>
  <si>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</si>
  <si>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</si>
  <si>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</si>
  <si>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</si>
  <si>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</si>
  <si>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</si>
  <si>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</si>
  <si>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</si>
  <si>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</si>
  <si>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</si>
  <si>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</si>
  <si>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</si>
  <si>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</si>
  <si>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</si>
  <si>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</si>
  <si>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</si>
  <si>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</si>
  <si>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</si>
  <si>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</si>
  <si>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</si>
  <si>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</si>
  <si>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</si>
  <si>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</si>
  <si>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</si>
  <si>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</si>
  <si>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</si>
  <si>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</si>
  <si>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</si>
  <si>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</si>
  <si>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</si>
  <si>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</si>
  <si>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</si>
  <si>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</si>
  <si>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</si>
  <si>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</si>
  <si>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</si>
  <si>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</si>
  <si>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</si>
  <si>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</si>
  <si>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</si>
  <si>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</si>
  <si>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</si>
  <si>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</si>
  <si>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</si>
  <si>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</si>
  <si>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</si>
  <si>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</si>
  <si>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</si>
  <si>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</si>
  <si>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</si>
  <si>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</si>
  <si>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</si>
  <si>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</si>
  <si>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</si>
  <si>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</si>
  <si>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</si>
  <si>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</si>
  <si>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</si>
  <si>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</si>
  <si>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</si>
  <si>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</si>
  <si>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</si>
  <si>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</si>
  <si>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</si>
  <si>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</si>
  <si>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</si>
  <si>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</si>
  <si>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</si>
  <si>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</si>
  <si>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</si>
  <si>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</si>
  <si>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</si>
  <si>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</si>
  <si>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</si>
  <si>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</si>
  <si>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</si>
  <si>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</si>
  <si>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</si>
  <si>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</si>
  <si>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</si>
  <si>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</si>
  <si>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</si>
  <si>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</si>
  <si>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</si>
  <si>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</si>
  <si>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</si>
  <si>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</si>
  <si>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</si>
  <si>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</si>
  <si>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</si>
  <si>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</si>
  <si>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</si>
  <si>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</si>
  <si>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</si>
  <si>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</si>
  <si>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</si>
  <si>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</si>
  <si>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</si>
  <si>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</si>
  <si>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</si>
  <si>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</si>
  <si>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</si>
  <si>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</si>
  <si>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</si>
  <si>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</si>
  <si>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</si>
  <si>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</si>
  <si>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</si>
  <si>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</si>
  <si>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</si>
  <si>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</si>
  <si>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</si>
  <si>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</si>
  <si>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</si>
  <si>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</si>
  <si>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</si>
  <si>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</si>
  <si>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</si>
  <si>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</si>
  <si>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</si>
  <si>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</si>
  <si>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</si>
  <si>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</si>
  <si>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</si>
  <si>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</si>
  <si>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</si>
  <si>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</si>
  <si>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</si>
  <si>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</si>
  <si>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</si>
  <si>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</si>
  <si>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</si>
  <si>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</si>
  <si>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</si>
  <si>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</si>
  <si>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</si>
  <si>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</si>
  <si>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</si>
  <si>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</si>
  <si>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</si>
  <si>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</si>
  <si>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</si>
  <si>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</si>
  <si>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</si>
  <si>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</si>
  <si>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</si>
  <si>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</si>
  <si>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</si>
  <si>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</si>
  <si>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</si>
  <si>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</si>
  <si>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</si>
  <si>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</si>
  <si>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</si>
  <si>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</si>
  <si>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</si>
  <si>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</si>
  <si>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</si>
  <si>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</si>
  <si>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</si>
  <si>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</si>
  <si>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</si>
  <si>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</si>
  <si>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</si>
  <si>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</si>
  <si>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</si>
  <si>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</si>
  <si>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</si>
  <si>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</si>
  <si>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</si>
  <si>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</si>
  <si>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</si>
  <si>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</si>
  <si>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</si>
  <si>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</si>
  <si>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</si>
  <si>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</si>
  <si>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</si>
  <si>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</si>
  <si>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</si>
  <si>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</si>
  <si>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</si>
  <si>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</si>
  <si>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</si>
  <si>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</si>
  <si>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</si>
  <si>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</si>
  <si>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</si>
  <si>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</si>
  <si>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</si>
  <si>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</si>
  <si>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</si>
  <si>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</si>
  <si>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</si>
  <si>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</si>
  <si>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</si>
  <si>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</si>
  <si>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</si>
  <si>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</si>
  <si>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</si>
  <si>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</si>
  <si>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</si>
  <si>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</si>
  <si>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</si>
  <si>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</si>
  <si>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</si>
  <si>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</si>
  <si>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</si>
  <si>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</si>
  <si>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</si>
  <si>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</si>
  <si>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</si>
  <si>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</si>
  <si>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</si>
  <si>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</si>
  <si>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</si>
  <si>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</si>
  <si>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</si>
  <si>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</si>
  <si>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</si>
  <si>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</si>
  <si>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</si>
  <si>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</si>
  <si>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</si>
  <si>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</si>
  <si>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</si>
  <si>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</si>
  <si>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</si>
  <si>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</si>
  <si>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</si>
  <si>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</si>
  <si>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</si>
  <si>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</si>
  <si>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</si>
  <si>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</si>
  <si>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</si>
  <si>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</si>
  <si>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</si>
  <si>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</si>
  <si>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</si>
  <si>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</si>
  <si>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</si>
  <si>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</si>
  <si>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</si>
  <si>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</si>
  <si>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</si>
  <si>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</si>
  <si>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</si>
  <si>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</si>
  <si>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</si>
  <si>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</si>
  <si>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</si>
  <si>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</si>
  <si>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</si>
  <si>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</si>
  <si>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</si>
  <si>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</si>
  <si>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</si>
  <si>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</si>
  <si>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</si>
  <si>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</si>
  <si>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</si>
  <si>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</si>
  <si>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</si>
  <si>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</si>
  <si>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</si>
  <si>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</si>
  <si>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</si>
  <si>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</si>
  <si>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</si>
  <si>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</si>
  <si>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</si>
  <si>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</si>
  <si>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</si>
  <si>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</si>
  <si>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</si>
  <si>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</si>
  <si>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</si>
  <si>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</si>
  <si>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</si>
  <si>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</si>
  <si>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</si>
  <si>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</si>
  <si>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</si>
  <si>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</si>
  <si>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</si>
  <si>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</si>
  <si>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</si>
  <si>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</si>
  <si>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</si>
  <si>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</si>
  <si>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</si>
  <si>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</si>
  <si>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</si>
  <si>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</si>
  <si>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</si>
  <si>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</si>
  <si>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</si>
  <si>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</si>
  <si>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</si>
  <si>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</si>
  <si>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</si>
  <si>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</si>
  <si>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</si>
  <si>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</si>
  <si>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</si>
  <si>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</si>
  <si>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</si>
  <si>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</si>
  <si>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</si>
  <si>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</si>
  <si>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</si>
  <si>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</si>
  <si>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</si>
  <si>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</si>
  <si>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</si>
  <si>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</si>
  <si>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</si>
  <si>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</si>
  <si>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</si>
  <si>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</si>
  <si>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</si>
  <si>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</si>
  <si>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</si>
  <si>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</si>
  <si>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</si>
  <si>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</si>
  <si>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</si>
  <si>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</si>
  <si>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</si>
  <si>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</si>
  <si>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</si>
  <si>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</si>
  <si>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</si>
  <si>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</si>
  <si>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</si>
  <si>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</si>
  <si>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</si>
  <si>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</si>
  <si>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</si>
  <si>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</si>
  <si>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</si>
  <si>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</si>
  <si>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</si>
  <si>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</si>
  <si>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</si>
  <si>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</si>
  <si>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</si>
  <si>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</si>
  <si>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</si>
  <si>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</si>
  <si>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</si>
  <si>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</si>
  <si>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</si>
  <si>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</si>
  <si>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</si>
  <si>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</si>
  <si>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</si>
  <si>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</si>
  <si>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</si>
  <si>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</si>
  <si>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</si>
  <si>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</si>
  <si>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</si>
  <si>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</si>
  <si>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</si>
  <si>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</si>
  <si>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</si>
  <si>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</si>
  <si>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</si>
  <si>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</si>
  <si>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</si>
  <si>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</si>
  <si>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</si>
  <si>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</si>
  <si>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</si>
  <si>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</si>
  <si>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</si>
  <si>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</si>
  <si>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</si>
  <si>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</si>
  <si>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</si>
  <si>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</si>
  <si>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</si>
  <si>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</si>
  <si>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</si>
  <si>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</si>
  <si>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</si>
  <si>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</si>
  <si>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</si>
  <si>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</si>
  <si>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</si>
  <si>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</si>
  <si>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</si>
  <si>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</si>
  <si>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</si>
  <si>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</si>
  <si>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</si>
  <si>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</si>
  <si>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</si>
  <si>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</si>
  <si>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</si>
  <si>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</si>
  <si>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</si>
  <si>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</si>
  <si>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</si>
  <si>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</si>
  <si>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</si>
  <si>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</si>
  <si>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</si>
  <si>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</si>
  <si>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</si>
  <si>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</si>
  <si>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</si>
  <si>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</si>
  <si>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</si>
  <si>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</si>
  <si>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</si>
  <si>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</si>
  <si>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</si>
  <si>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</si>
  <si>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</si>
  <si>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</si>
  <si>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</si>
  <si>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</si>
  <si>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</si>
  <si>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</si>
  <si>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</si>
  <si>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</si>
  <si>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</si>
  <si>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</si>
  <si>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</si>
  <si>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</si>
  <si>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</si>
  <si>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</si>
  <si>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</si>
  <si>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</si>
  <si>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</si>
  <si>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</si>
  <si>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</si>
  <si>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</si>
  <si>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</si>
  <si>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</si>
  <si>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</si>
  <si>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</si>
  <si>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</si>
  <si>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</si>
  <si>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</si>
  <si>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</si>
  <si>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</si>
  <si>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</si>
  <si>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</si>
  <si>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</si>
  <si>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</si>
  <si>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</si>
  <si>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</si>
  <si>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</si>
  <si>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</si>
  <si>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</si>
  <si>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</si>
  <si>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</si>
  <si>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</si>
  <si>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</si>
  <si>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</si>
  <si>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</si>
  <si>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</si>
  <si>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</si>
  <si>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</si>
  <si>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</si>
  <si>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</si>
  <si>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</si>
  <si>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</si>
  <si>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</si>
  <si>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</si>
  <si>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</si>
  <si>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</si>
  <si>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</si>
  <si>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</si>
  <si>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</si>
  <si>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</si>
  <si>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</si>
  <si>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</si>
  <si>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</si>
  <si>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</si>
  <si>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</si>
  <si>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</si>
  <si>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</si>
  <si>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</si>
  <si>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</si>
  <si>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</si>
  <si>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</si>
  <si>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</si>
  <si>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</si>
  <si>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</si>
  <si>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</si>
  <si>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</si>
  <si>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</si>
  <si>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</si>
  <si>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</si>
  <si>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</si>
  <si>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</si>
  <si>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</si>
  <si>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</si>
  <si>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</si>
  <si>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</si>
  <si>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</si>
  <si>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</si>
  <si>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</si>
  <si>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</si>
  <si>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</si>
  <si>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</si>
  <si>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</si>
  <si>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</si>
  <si>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</si>
  <si>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</si>
  <si>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</si>
  <si>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</si>
  <si>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</si>
  <si>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</si>
  <si>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</si>
  <si>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</si>
  <si>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</si>
  <si>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</si>
  <si>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</si>
  <si>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</si>
  <si>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</si>
  <si>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</si>
  <si>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</si>
  <si>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</si>
  <si>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</si>
  <si>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</si>
  <si>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</si>
  <si>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</si>
  <si>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</si>
  <si>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</si>
  <si>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</si>
  <si>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</si>
  <si>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</si>
  <si>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</si>
  <si>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</si>
  <si>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</si>
  <si>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</si>
  <si>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</si>
  <si>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</si>
  <si>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</si>
  <si>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</si>
  <si>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</si>
  <si>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</si>
  <si>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</si>
  <si>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</si>
  <si>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</si>
  <si>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</si>
  <si>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</si>
  <si>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</si>
  <si>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</si>
  <si>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</si>
  <si>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</si>
  <si>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</si>
  <si>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</si>
  <si>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</si>
  <si>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</si>
  <si>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</si>
  <si>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</si>
  <si>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</si>
  <si>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</si>
  <si>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</si>
  <si>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</si>
  <si>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</si>
  <si>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</si>
  <si>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</si>
  <si>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</si>
  <si>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</si>
  <si>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</si>
  <si>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</si>
  <si>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</si>
  <si>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</si>
  <si>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</si>
  <si>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</si>
  <si>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</si>
  <si>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</si>
  <si>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</si>
  <si>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</si>
  <si>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</si>
  <si>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</si>
  <si>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</si>
  <si>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</si>
  <si>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</si>
  <si>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</si>
  <si>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</si>
  <si>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</si>
  <si>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</si>
  <si>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</si>
  <si>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</si>
  <si>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</si>
  <si>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</si>
  <si>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</si>
  <si>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</si>
  <si>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</si>
  <si>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</si>
  <si>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</si>
  <si>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</si>
  <si>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</si>
  <si>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</si>
  <si>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</si>
  <si>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</si>
  <si>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</si>
  <si>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</si>
  <si>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</si>
  <si>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</si>
  <si>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</si>
  <si>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</si>
  <si>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</si>
  <si>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</si>
  <si>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</si>
  <si>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</si>
  <si>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</si>
  <si>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</si>
  <si>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</si>
  <si>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</si>
  <si>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</si>
  <si>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</si>
  <si>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</si>
  <si>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</si>
  <si>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</si>
  <si>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</si>
  <si>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</si>
  <si>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</si>
  <si>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</si>
  <si>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</si>
  <si>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</si>
  <si>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</si>
  <si>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</si>
  <si>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</si>
  <si>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</si>
  <si>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</si>
  <si>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</si>
  <si>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</si>
  <si>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</si>
  <si>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</si>
  <si>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</si>
  <si>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</si>
  <si>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</si>
  <si>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</si>
  <si>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</si>
  <si>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</si>
  <si>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</si>
  <si>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</si>
  <si>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</si>
  <si>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</si>
  <si>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</si>
  <si>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</si>
  <si>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</si>
  <si>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</si>
  <si>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</si>
  <si>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</si>
  <si>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</si>
  <si>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</si>
  <si>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</si>
  <si>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</si>
  <si>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</si>
  <si>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</si>
  <si>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</si>
  <si>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</si>
  <si>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</si>
  <si>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</si>
  <si>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</si>
  <si>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</si>
  <si>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</si>
  <si>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</si>
  <si>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</si>
  <si>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</si>
  <si>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</si>
  <si>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</si>
  <si>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</si>
  <si>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</si>
  <si>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</si>
  <si>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</si>
  <si>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</si>
  <si>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</si>
  <si>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</si>
  <si>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</si>
  <si>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</si>
  <si>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</si>
  <si>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</si>
  <si>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</si>
  <si>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</si>
  <si>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</si>
  <si>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</si>
  <si>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</si>
  <si>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</si>
  <si>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</si>
  <si>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</si>
  <si>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</si>
  <si>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</si>
  <si>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</si>
  <si>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</si>
  <si>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</si>
  <si>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</si>
  <si>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</si>
  <si>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</si>
  <si>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</si>
  <si>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</si>
  <si>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</si>
  <si>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</si>
  <si>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</si>
  <si>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</si>
  <si>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</si>
  <si>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</si>
  <si>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</si>
  <si>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</si>
  <si>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</si>
  <si>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</si>
  <si>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</si>
  <si>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</si>
  <si>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</si>
  <si>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</si>
  <si>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</si>
  <si>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</si>
  <si>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</si>
  <si>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</si>
  <si>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</si>
  <si>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</si>
  <si>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</si>
  <si>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</si>
  <si>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</si>
  <si>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</si>
  <si>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</si>
  <si>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</si>
  <si>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</si>
  <si>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</si>
  <si>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</si>
  <si>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</si>
  <si>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</si>
  <si>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</si>
  <si>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</si>
  <si>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</si>
  <si>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</si>
  <si>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</si>
  <si>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</si>
  <si>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</si>
  <si>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</si>
  <si>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</si>
  <si>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</si>
  <si>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</si>
  <si>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</si>
  <si>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</si>
  <si>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</si>
  <si>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</si>
  <si>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</si>
  <si>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</si>
  <si>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</si>
  <si>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</si>
  <si>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</si>
  <si>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</si>
  <si>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</si>
  <si>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</si>
  <si>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</si>
  <si>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</si>
  <si>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</si>
  <si>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</si>
  <si>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</si>
  <si>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</si>
  <si>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</si>
  <si>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</si>
  <si>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</si>
  <si>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</si>
  <si>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</si>
  <si>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</si>
  <si>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</si>
  <si>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</si>
  <si>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</si>
  <si>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</si>
  <si>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</si>
  <si>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</si>
  <si>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</si>
  <si>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</si>
  <si>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</si>
  <si>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</si>
  <si>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</si>
  <si>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</si>
  <si>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</si>
  <si>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</si>
  <si>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</si>
  <si>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</si>
  <si>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</si>
  <si>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</si>
  <si>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</si>
  <si>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</si>
  <si>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</si>
  <si>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</si>
  <si>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</si>
  <si>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</si>
  <si>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</si>
  <si>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</si>
  <si>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</si>
  <si>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</si>
  <si>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</si>
  <si>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</si>
  <si>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</si>
  <si>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</si>
  <si>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</si>
  <si>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</si>
  <si>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</si>
  <si>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</si>
  <si>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</si>
  <si>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</si>
  <si>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</si>
  <si>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</si>
  <si>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</si>
  <si>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</si>
  <si>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</si>
  <si>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</si>
  <si>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</si>
  <si>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</si>
  <si>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</si>
  <si>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</si>
  <si>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</si>
  <si>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</si>
  <si>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</si>
  <si>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</si>
  <si>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</si>
  <si>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</si>
  <si>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</si>
  <si>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</si>
  <si>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</si>
  <si>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</si>
  <si>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</si>
  <si>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</si>
  <si>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</si>
  <si>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</si>
  <si>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</si>
  <si>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</si>
  <si>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</si>
  <si>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</si>
  <si>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</si>
  <si>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</si>
  <si>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</si>
  <si>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</si>
  <si>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</si>
  <si>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</si>
  <si>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</si>
  <si>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</si>
  <si>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</si>
  <si>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</si>
  <si>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</si>
  <si>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</si>
  <si>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</si>
  <si>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</si>
  <si>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</si>
  <si>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</si>
  <si>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</si>
  <si>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</si>
  <si>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</si>
  <si>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</si>
  <si>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</si>
  <si>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</si>
  <si>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</si>
  <si>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</si>
  <si>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</si>
  <si>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</si>
  <si>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</si>
  <si>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</si>
  <si>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</si>
  <si>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</si>
  <si>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</si>
  <si>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</si>
  <si>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</si>
  <si>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</si>
  <si>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</si>
  <si>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</si>
  <si>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</si>
  <si>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</si>
  <si>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</si>
  <si>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</si>
  <si>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</si>
  <si>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</si>
  <si>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</si>
  <si>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</si>
  <si>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</si>
  <si>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</si>
  <si>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</si>
  <si>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</si>
  <si>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</si>
  <si>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</si>
  <si>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</si>
  <si>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</si>
  <si>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</si>
  <si>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</si>
  <si>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</si>
  <si>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</si>
  <si>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</si>
  <si>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</si>
  <si>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</si>
  <si>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</si>
  <si>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</si>
  <si>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</si>
  <si>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</si>
  <si>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</si>
  <si>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</si>
  <si>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</si>
  <si>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</si>
  <si>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</si>
  <si>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</si>
  <si>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</si>
  <si>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</si>
  <si>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</si>
  <si>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</si>
  <si>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</si>
  <si>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</si>
  <si>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</si>
  <si>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</si>
  <si>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</si>
  <si>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</si>
  <si>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</si>
  <si>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</si>
  <si>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</si>
  <si>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</si>
  <si>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</si>
  <si>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</si>
  <si>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</si>
  <si>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</si>
  <si>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</si>
  <si>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</si>
  <si>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</si>
  <si>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</si>
  <si>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</si>
  <si>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</si>
  <si>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</si>
  <si>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</si>
  <si>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</si>
  <si>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</si>
  <si>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</si>
  <si>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</si>
  <si>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</si>
  <si>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</si>
  <si>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</si>
  <si>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</si>
  <si>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</si>
  <si>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</si>
  <si>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</si>
  <si>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</si>
  <si>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</si>
  <si>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</si>
  <si>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</si>
  <si>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</si>
  <si>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</si>
  <si>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</si>
  <si>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</si>
  <si>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</si>
  <si>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</si>
  <si>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</si>
  <si>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</si>
  <si>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</si>
  <si>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</si>
  <si>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</si>
  <si>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</si>
  <si>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</si>
  <si>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</si>
  <si>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</si>
  <si>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</si>
  <si>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</si>
  <si>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</si>
  <si>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</si>
  <si>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</si>
  <si>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</si>
  <si>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</si>
  <si>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</si>
  <si>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</si>
  <si>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</si>
  <si>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</si>
  <si>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</si>
  <si>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</si>
  <si>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</si>
  <si>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</si>
  <si>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</si>
  <si>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</si>
  <si>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</si>
  <si>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</si>
  <si>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</si>
  <si>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</si>
  <si>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</si>
  <si>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</si>
  <si>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</si>
  <si>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</si>
  <si>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</si>
  <si>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</si>
  <si>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</si>
  <si>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</si>
  <si>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</si>
  <si>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</si>
  <si>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</si>
  <si>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</si>
  <si>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</si>
  <si>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</si>
  <si>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</si>
  <si>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</si>
  <si>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</si>
  <si>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</si>
  <si>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</si>
  <si>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</si>
  <si>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</si>
  <si>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</si>
  <si>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</si>
  <si>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</si>
  <si>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</si>
  <si>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</si>
  <si>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</si>
  <si>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</si>
  <si>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</si>
  <si>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</si>
  <si>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</si>
  <si>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</si>
  <si>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</si>
  <si>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</si>
  <si>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</si>
  <si>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</si>
  <si>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</si>
  <si>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</si>
  <si>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</si>
  <si>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</si>
  <si>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</si>
  <si>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</si>
  <si>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</si>
  <si>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</si>
  <si>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</si>
  <si>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</si>
  <si>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</si>
  <si>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</si>
  <si>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</si>
  <si>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</si>
  <si>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</si>
  <si>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</si>
  <si>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</si>
  <si>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</si>
  <si>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</si>
  <si>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</si>
  <si>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</si>
  <si>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</si>
  <si>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</si>
  <si>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</si>
  <si>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</si>
  <si>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</si>
  <si>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</si>
  <si>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</si>
  <si>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</si>
  <si>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</si>
  <si>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</si>
  <si>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</si>
  <si>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</si>
  <si>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</si>
  <si>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</si>
  <si>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</si>
  <si>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</si>
  <si>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</si>
  <si>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</si>
  <si>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</si>
  <si>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</si>
  <si>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</si>
  <si>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</si>
  <si>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</si>
  <si>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</si>
  <si>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</si>
  <si>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</si>
  <si>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</si>
  <si>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</si>
  <si>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</si>
  <si>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</si>
  <si>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</si>
  <si>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</si>
  <si>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</si>
  <si>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</si>
  <si>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</si>
  <si>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</si>
  <si>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</si>
  <si>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</si>
  <si>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</si>
  <si>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</si>
  <si>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</si>
  <si>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</si>
  <si>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</si>
  <si>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</si>
  <si>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</si>
  <si>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</si>
  <si>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</si>
  <si>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</si>
  <si>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</si>
  <si>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</si>
  <si>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</si>
  <si>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</si>
  <si>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</si>
  <si>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</si>
  <si>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</si>
  <si>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</si>
  <si>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</si>
  <si>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</si>
  <si>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</si>
  <si>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</si>
  <si>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</si>
  <si>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</si>
  <si>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</si>
  <si>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</si>
  <si>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</si>
  <si>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</si>
  <si>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</si>
  <si>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</si>
  <si>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</si>
  <si>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</si>
  <si>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</si>
  <si>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</si>
  <si>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</si>
  <si>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</si>
  <si>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</si>
  <si>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</si>
  <si>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</si>
  <si>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</si>
  <si>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</si>
  <si>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</si>
  <si>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</si>
  <si>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</si>
  <si>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</si>
  <si>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</si>
  <si>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</si>
  <si>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</si>
  <si>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</si>
  <si>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</si>
  <si>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</si>
  <si>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</si>
  <si>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</si>
  <si>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</si>
  <si>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</si>
  <si>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</si>
  <si>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</si>
  <si>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</si>
  <si>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</si>
  <si>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</si>
  <si>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</si>
  <si>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</si>
  <si>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</si>
  <si>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</si>
  <si>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</si>
  <si>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</si>
  <si>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</si>
  <si>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</si>
  <si>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</si>
  <si>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</si>
  <si>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</si>
  <si>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</si>
  <si>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</si>
  <si>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</si>
  <si>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</si>
  <si>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</si>
  <si>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</si>
  <si>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</si>
  <si>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</si>
  <si>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</si>
  <si>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</si>
  <si>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</si>
  <si>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</si>
  <si>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</si>
  <si>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</si>
  <si>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</si>
  <si>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</si>
  <si>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</si>
  <si>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</si>
  <si>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</si>
  <si>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</si>
  <si>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</si>
  <si>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</si>
  <si>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</si>
  <si>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</si>
  <si>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</si>
  <si>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</si>
  <si>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</si>
  <si>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</si>
  <si>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</si>
  <si>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</si>
  <si>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</si>
  <si>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</si>
  <si>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</si>
  <si>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</si>
  <si>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</si>
  <si>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</si>
  <si>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</si>
  <si>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</si>
  <si>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</si>
  <si>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</si>
  <si>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</si>
  <si>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</si>
  <si>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</si>
  <si>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</si>
  <si>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</si>
  <si>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</si>
  <si>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</si>
  <si>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</si>
  <si>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</si>
  <si>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</si>
  <si>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</si>
  <si>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</si>
  <si>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</si>
  <si>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</si>
  <si>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</si>
  <si>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</si>
  <si>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</si>
  <si>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</si>
  <si>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</si>
  <si>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</si>
  <si>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</si>
  <si>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</si>
  <si>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</si>
  <si>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</si>
  <si>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</si>
  <si>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</si>
  <si>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</si>
  <si>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</si>
  <si>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</si>
  <si>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</si>
  <si>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</si>
  <si>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</si>
  <si>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</si>
  <si>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</si>
  <si>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</si>
  <si>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</si>
  <si>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</si>
  <si>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</si>
  <si>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</si>
  <si>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</si>
  <si>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</si>
  <si>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</si>
  <si>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</si>
  <si>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</si>
  <si>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</si>
  <si>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</si>
  <si>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</si>
  <si>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</si>
  <si>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</si>
  <si>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</si>
  <si>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</si>
  <si>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</si>
  <si>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</si>
  <si>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</si>
  <si>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</si>
  <si>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</si>
  <si>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</si>
  <si>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</si>
  <si>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</si>
  <si>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</si>
  <si>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</si>
  <si>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</si>
  <si>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</si>
  <si>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</si>
  <si>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</si>
  <si>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</si>
  <si>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</si>
  <si>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</si>
  <si>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</si>
  <si>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</si>
  <si>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</si>
  <si>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</si>
  <si>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</si>
  <si>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</si>
  <si>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</si>
  <si>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</si>
  <si>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</si>
  <si>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</si>
  <si>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</si>
  <si>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</si>
  <si>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</si>
  <si>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</si>
  <si>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</si>
  <si>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</si>
  <si>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</si>
  <si>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</si>
  <si>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</si>
  <si>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</si>
  <si>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</si>
  <si>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</si>
  <si>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</si>
  <si>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</si>
  <si>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</si>
  <si>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</si>
  <si>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</si>
  <si>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</si>
  <si>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</si>
  <si>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</si>
  <si>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</si>
  <si>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</si>
  <si>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</si>
  <si>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</si>
  <si>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</si>
  <si>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</si>
  <si>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</si>
  <si>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</si>
  <si>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</si>
  <si>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</si>
  <si>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</si>
  <si>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</si>
  <si>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</si>
  <si>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</si>
  <si>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</si>
  <si>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</si>
  <si>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</si>
  <si>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</si>
  <si>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</si>
  <si>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</si>
  <si>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</si>
  <si>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</si>
  <si>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</si>
  <si>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</si>
  <si>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</si>
  <si>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</si>
  <si>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</si>
  <si>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</si>
  <si>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</si>
  <si>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</si>
  <si>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</si>
  <si>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</si>
  <si>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</si>
  <si>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</si>
  <si>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</si>
  <si>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</si>
  <si>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</si>
  <si>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</si>
  <si>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</si>
  <si>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</si>
  <si>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</si>
  <si>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</si>
  <si>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</si>
  <si>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</si>
  <si>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</si>
  <si>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</si>
  <si>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</si>
  <si>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</si>
  <si>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</si>
  <si>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</si>
  <si>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</si>
  <si>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</si>
  <si>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</si>
  <si>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</si>
  <si>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</si>
  <si>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</si>
  <si>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</si>
  <si>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</si>
  <si>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</si>
  <si>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</si>
  <si>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</si>
  <si>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</si>
  <si>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</si>
  <si>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</si>
  <si>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</si>
  <si>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</si>
  <si>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</si>
  <si>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</si>
  <si>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</si>
  <si>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</si>
  <si>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</si>
  <si>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</si>
  <si>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</si>
  <si>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</si>
  <si>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</si>
  <si>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</si>
  <si>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</si>
  <si>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</si>
  <si>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</si>
  <si>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</si>
  <si>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</si>
  <si>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</si>
  <si>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</si>
  <si>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</si>
  <si>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</si>
  <si>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</si>
  <si>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</si>
  <si>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</si>
  <si>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</si>
  <si>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</si>
  <si>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</si>
  <si>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</si>
  <si>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</si>
  <si>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</si>
  <si>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</si>
  <si>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</si>
  <si>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</si>
  <si>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</si>
  <si>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</si>
  <si>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</si>
  <si>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</si>
  <si>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</si>
  <si>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</si>
  <si>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</si>
  <si>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</si>
  <si>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</si>
  <si>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</si>
  <si>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</si>
  <si>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</si>
  <si>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</si>
  <si>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</si>
  <si>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</si>
  <si>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</si>
  <si>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</si>
  <si>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</si>
  <si>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</si>
  <si>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</si>
  <si>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</si>
  <si>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</si>
  <si>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</si>
  <si>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</si>
  <si>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</si>
  <si>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</si>
  <si>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</si>
  <si>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</si>
  <si>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</si>
  <si>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</si>
  <si>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</si>
  <si>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</si>
  <si>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</si>
  <si>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</si>
  <si>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</si>
  <si>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</si>
  <si>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</si>
  <si>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</si>
  <si>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</si>
  <si>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</si>
  <si>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</si>
  <si>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</si>
  <si>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</si>
  <si>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</si>
  <si>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</si>
  <si>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</si>
  <si>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</si>
  <si>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</si>
  <si>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</si>
  <si>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</si>
  <si>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</si>
  <si>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</si>
  <si>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</si>
  <si>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</si>
  <si>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</si>
  <si>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</si>
  <si>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</si>
  <si>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</si>
  <si>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</si>
  <si>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</si>
  <si>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</si>
  <si>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</si>
  <si>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</si>
  <si>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</si>
  <si>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</si>
  <si>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</si>
  <si>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</si>
  <si>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</si>
  <si>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</si>
  <si>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</si>
  <si>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</si>
  <si>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</si>
  <si>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</si>
  <si>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</si>
  <si>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</si>
  <si>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</si>
  <si>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</si>
  <si>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</si>
  <si>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</si>
  <si>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</si>
  <si>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</si>
  <si>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</si>
  <si>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</si>
  <si>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</si>
  <si>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</si>
  <si>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</si>
  <si>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</si>
  <si>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</si>
  <si>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</si>
  <si>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</si>
  <si>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</si>
  <si>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</si>
  <si>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</si>
  <si>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</si>
  <si>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</si>
  <si>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</si>
  <si>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</si>
  <si>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</si>
  <si>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</si>
  <si>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</si>
  <si>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</si>
  <si>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</si>
  <si>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</si>
  <si>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</si>
  <si>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</si>
  <si>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</si>
  <si>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</si>
  <si>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</si>
  <si>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</si>
  <si>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</si>
  <si>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</si>
  <si>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</si>
  <si>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</si>
  <si>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</si>
  <si>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</si>
  <si>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</si>
  <si>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</si>
  <si>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</si>
  <si>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</si>
  <si>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</si>
  <si>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</si>
  <si>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</si>
  <si>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</si>
  <si>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</si>
  <si>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</si>
  <si>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</si>
  <si>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</si>
  <si>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</si>
  <si>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</si>
  <si>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</si>
  <si>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</si>
  <si>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</si>
  <si>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</si>
  <si>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</si>
  <si>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</si>
  <si>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</si>
  <si>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</si>
  <si>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</si>
  <si>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</si>
  <si>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</si>
  <si>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</si>
  <si>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</si>
  <si>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</si>
  <si>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</si>
  <si>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</si>
  <si>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</si>
  <si>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</si>
  <si>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</si>
  <si>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</si>
  <si>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</si>
  <si>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</si>
  <si>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</si>
  <si>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</si>
  <si>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</si>
  <si>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</si>
  <si>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</si>
  <si>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</si>
  <si>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</si>
  <si>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</si>
  <si>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</si>
  <si>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</si>
  <si>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</si>
  <si>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</si>
  <si>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</si>
  <si>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</si>
  <si>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</si>
  <si>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</si>
  <si>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</si>
  <si>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</si>
  <si>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</si>
  <si>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</si>
  <si>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</si>
  <si>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</si>
  <si>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</si>
  <si>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</si>
  <si>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</si>
  <si>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</si>
  <si>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</si>
  <si>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</si>
  <si>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</si>
  <si>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</si>
  <si>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</si>
  <si>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</si>
  <si>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</si>
  <si>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</si>
  <si>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</si>
  <si>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</si>
  <si>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</si>
  <si>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</si>
  <si>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</si>
  <si>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</si>
  <si>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</si>
  <si>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</si>
  <si>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</si>
  <si>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</si>
  <si>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</si>
  <si>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</si>
  <si>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</si>
  <si>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</si>
  <si>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</si>
  <si>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</si>
  <si>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</si>
  <si>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</si>
  <si>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</si>
  <si>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</si>
  <si>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</si>
  <si>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</si>
  <si>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</si>
  <si>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</si>
  <si>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</si>
  <si>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</si>
  <si>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</si>
  <si>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</si>
  <si>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</si>
  <si>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</si>
  <si>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</si>
  <si>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</si>
  <si>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</si>
  <si>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</si>
  <si>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</si>
  <si>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</si>
  <si>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</si>
  <si>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</si>
  <si>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</si>
  <si>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</si>
  <si>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</si>
  <si>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</si>
  <si>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</si>
  <si>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</si>
  <si>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</si>
  <si>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</si>
  <si>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</si>
  <si>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</si>
  <si>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</si>
  <si>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</si>
  <si>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</si>
  <si>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</si>
  <si>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</si>
  <si>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</si>
  <si>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</si>
  <si>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</si>
  <si>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</si>
  <si>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</si>
  <si>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</si>
  <si>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</si>
  <si>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</si>
  <si>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</si>
  <si>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</si>
  <si>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</si>
  <si>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</si>
  <si>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</si>
  <si>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</si>
  <si>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</si>
  <si>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</si>
  <si>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</si>
  <si>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</si>
  <si>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</si>
  <si>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</si>
  <si>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</si>
  <si>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</si>
  <si>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</si>
  <si>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</si>
  <si>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</si>
  <si>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</si>
  <si>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</si>
  <si>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</si>
  <si>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</si>
  <si>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</si>
  <si>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</si>
  <si>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</si>
  <si>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</si>
  <si>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</si>
  <si>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</si>
  <si>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</si>
  <si>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</si>
  <si>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</si>
  <si>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</si>
  <si>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</si>
  <si>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</si>
  <si>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</si>
  <si>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</si>
  <si>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</si>
  <si>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</si>
  <si>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</si>
  <si>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</si>
  <si>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</si>
  <si>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</si>
  <si>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</si>
  <si>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</si>
  <si>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</si>
  <si>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</si>
  <si>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</si>
  <si>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</si>
  <si>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</si>
  <si>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</si>
  <si>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</si>
  <si>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</si>
  <si>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</si>
  <si>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</si>
  <si>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</si>
  <si>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</si>
  <si>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</si>
  <si>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</si>
  <si>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</si>
  <si>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</si>
  <si>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</si>
  <si>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</si>
  <si>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</si>
  <si>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</si>
  <si>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</si>
  <si>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</si>
  <si>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</si>
  <si>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</si>
  <si>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</si>
  <si>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</si>
  <si>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</si>
  <si>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</si>
  <si>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</si>
  <si>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</si>
  <si>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</si>
  <si>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</si>
  <si>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</si>
  <si>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</si>
  <si>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</si>
  <si>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</si>
  <si>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</si>
  <si>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</si>
  <si>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</si>
  <si>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</si>
  <si>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</si>
  <si>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</si>
  <si>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</si>
  <si>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</si>
  <si>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</si>
  <si>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</si>
  <si>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</si>
  <si>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</si>
  <si>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</si>
  <si>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</si>
  <si>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</si>
  <si>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</si>
  <si>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</si>
  <si>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</si>
  <si>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</si>
  <si>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</si>
  <si>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</si>
  <si>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</si>
  <si>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</si>
  <si>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</si>
  <si>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</si>
  <si>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</si>
  <si>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</si>
  <si>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</si>
  <si>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</si>
  <si>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</si>
  <si>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</si>
  <si>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</si>
  <si>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</si>
  <si>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</si>
  <si>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</si>
  <si>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</si>
  <si>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</si>
  <si>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</si>
  <si>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</si>
  <si>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</si>
  <si>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</si>
  <si>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</si>
  <si>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</si>
  <si>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</si>
  <si>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</si>
  <si>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</si>
  <si>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</si>
  <si>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</si>
  <si>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</si>
  <si>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</si>
  <si>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</si>
  <si>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</si>
  <si>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</si>
  <si>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</si>
  <si>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</si>
  <si>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</si>
  <si>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</si>
  <si>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</si>
  <si>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</si>
  <si>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</si>
  <si>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</si>
  <si>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</si>
  <si>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</si>
  <si>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</si>
  <si>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</si>
  <si>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</si>
  <si>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</si>
  <si>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</si>
  <si>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</si>
  <si>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</si>
  <si>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</si>
  <si>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</si>
  <si>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</si>
  <si>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</si>
  <si>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</si>
  <si>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</si>
  <si>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</si>
  <si>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</si>
  <si>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</si>
  <si>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</si>
  <si>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</si>
  <si>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</si>
  <si>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</si>
  <si>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</si>
  <si>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</si>
  <si>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</si>
  <si>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</si>
  <si>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</si>
  <si>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</si>
  <si>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</si>
  <si>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</si>
  <si>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</si>
  <si>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</si>
  <si>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</si>
  <si>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</si>
  <si>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</si>
  <si>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</si>
  <si>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</si>
  <si>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</si>
  <si>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</si>
  <si>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</si>
  <si>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</si>
  <si>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</si>
  <si>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</si>
  <si>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</si>
  <si>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</si>
  <si>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</si>
  <si>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</si>
  <si>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</si>
  <si>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</si>
  <si>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</si>
  <si>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</si>
  <si>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</si>
  <si>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</si>
  <si>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</si>
  <si>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</si>
  <si>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</si>
  <si>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</si>
  <si>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</si>
  <si>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</si>
  <si>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</si>
  <si>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</si>
  <si>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</si>
  <si>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</si>
  <si>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</si>
  <si>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</si>
  <si>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</si>
  <si>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</si>
  <si>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</si>
  <si>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</si>
  <si>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</si>
  <si>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</si>
  <si>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</si>
  <si>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</si>
  <si>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</si>
  <si>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</si>
  <si>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</si>
  <si>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</si>
  <si>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</si>
  <si>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</si>
  <si>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</si>
  <si>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</si>
  <si>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</si>
  <si>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</si>
  <si>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</si>
  <si>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</si>
  <si>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</si>
  <si>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</si>
  <si>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</si>
  <si>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</si>
  <si>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</si>
  <si>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</si>
  <si>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</si>
  <si>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</si>
  <si>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</si>
  <si>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</si>
  <si>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</si>
  <si>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</si>
  <si>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</si>
  <si>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</si>
  <si>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</si>
  <si>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</si>
  <si>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</si>
  <si>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</si>
  <si>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</si>
  <si>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</si>
  <si>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</si>
  <si>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</si>
  <si>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</si>
  <si>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</si>
  <si>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</si>
  <si>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</si>
  <si>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</si>
  <si>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</si>
  <si>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</si>
  <si>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</si>
  <si>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</si>
  <si>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</si>
  <si>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</si>
  <si>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</si>
  <si>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</si>
  <si>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</si>
  <si>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</si>
  <si>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</si>
  <si>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</si>
  <si>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</si>
  <si>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</si>
  <si>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</si>
  <si>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</si>
  <si>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</si>
  <si>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</si>
  <si>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</si>
  <si>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</si>
  <si>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</si>
  <si>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</si>
  <si>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</si>
  <si>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</si>
  <si>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</si>
  <si>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</si>
  <si>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</si>
  <si>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</si>
  <si>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</si>
  <si>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</si>
  <si>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</si>
  <si>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</si>
  <si>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</si>
  <si>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</si>
  <si>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</si>
  <si>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</si>
  <si>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</si>
  <si>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</si>
  <si>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</si>
  <si>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</si>
  <si>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</si>
  <si>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</si>
  <si>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</si>
  <si>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</si>
  <si>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</si>
  <si>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</si>
  <si>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</si>
  <si>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</si>
  <si>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</si>
  <si>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</si>
  <si>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</si>
  <si>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</si>
  <si>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</si>
  <si>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</si>
  <si>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</si>
  <si>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</si>
  <si>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</si>
  <si>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</si>
  <si>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</si>
  <si>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</si>
  <si>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</si>
  <si>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</si>
  <si>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</si>
  <si>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</si>
  <si>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</si>
  <si>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</si>
  <si>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</si>
  <si>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</si>
  <si>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</si>
  <si>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</si>
  <si>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</si>
  <si>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</si>
  <si>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</si>
  <si>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</si>
  <si>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</si>
  <si>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</si>
  <si>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</si>
  <si>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</si>
  <si>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</si>
  <si>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</si>
  <si>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</si>
  <si>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</si>
  <si>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</si>
  <si>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</si>
  <si>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</si>
  <si>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</si>
  <si>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</si>
  <si>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</si>
  <si>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</si>
  <si>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</si>
  <si>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</si>
  <si>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</si>
  <si>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</si>
  <si>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</si>
  <si>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</si>
  <si>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</si>
  <si>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</si>
  <si>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</si>
  <si>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</si>
  <si>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</si>
  <si>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</si>
  <si>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</si>
  <si>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</si>
  <si>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</si>
  <si>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</si>
  <si>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</si>
  <si>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</si>
  <si>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</si>
  <si>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</si>
  <si>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</si>
  <si>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</si>
  <si>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</si>
  <si>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</si>
  <si>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</si>
  <si>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</si>
  <si>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</si>
  <si>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</si>
  <si>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</si>
  <si>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</si>
  <si>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</si>
  <si>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</si>
  <si>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</si>
  <si>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</si>
  <si>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</si>
  <si>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</si>
  <si>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</si>
  <si>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</si>
  <si>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</si>
  <si>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</si>
  <si>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</si>
  <si>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</si>
  <si>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</si>
  <si>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</si>
  <si>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</si>
  <si>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</si>
  <si>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</si>
  <si>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</si>
  <si>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</si>
  <si>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</si>
  <si>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</si>
  <si>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</si>
  <si>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</si>
  <si>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</si>
  <si>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</si>
  <si>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</si>
  <si>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</si>
  <si>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</si>
  <si>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</si>
  <si>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</si>
  <si>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</si>
  <si>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</si>
  <si>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</si>
  <si>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</si>
  <si>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</si>
  <si>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</si>
  <si>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</si>
  <si>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</si>
  <si>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</si>
  <si>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</si>
  <si>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</si>
  <si>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</si>
  <si>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</si>
  <si>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</si>
  <si>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</si>
  <si>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</si>
  <si>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</si>
  <si>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</si>
  <si>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</si>
  <si>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</si>
  <si>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</si>
  <si>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</si>
  <si>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</si>
  <si>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</si>
  <si>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</si>
  <si>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</si>
  <si>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</si>
  <si>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</si>
  <si>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</si>
  <si>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</si>
  <si>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</si>
  <si>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</si>
  <si>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</si>
  <si>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</si>
  <si>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</si>
  <si>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</si>
  <si>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</si>
  <si>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</si>
  <si>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</si>
  <si>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</si>
  <si>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</si>
  <si>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</si>
  <si>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</si>
  <si>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</si>
  <si>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</si>
  <si>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</si>
  <si>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</si>
  <si>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</si>
  <si>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</si>
  <si>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</si>
  <si>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</si>
  <si>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</si>
  <si>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</si>
  <si>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</si>
  <si>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</si>
  <si>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</si>
  <si>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</si>
  <si>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</si>
  <si>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</si>
  <si>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</si>
  <si>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</si>
  <si>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</si>
  <si>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</si>
  <si>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</si>
  <si>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</si>
  <si>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</si>
  <si>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</si>
  <si>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</si>
  <si>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</si>
  <si>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</si>
  <si>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</si>
  <si>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</si>
  <si>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</si>
  <si>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</si>
  <si>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</si>
  <si>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</si>
  <si>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</si>
  <si>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</si>
  <si>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</si>
  <si>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</si>
  <si>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</si>
  <si>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</si>
  <si>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</si>
  <si>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</si>
  <si>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</si>
  <si>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</si>
  <si>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</si>
  <si>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</si>
  <si>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</si>
  <si>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</si>
  <si>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</si>
  <si>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</si>
  <si>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</si>
  <si>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</si>
  <si>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</si>
  <si>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</si>
  <si>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</si>
  <si>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</si>
  <si>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</si>
  <si>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</si>
  <si>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</si>
  <si>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</si>
  <si>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</si>
  <si>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</si>
  <si>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</si>
  <si>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</si>
  <si>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</si>
  <si>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</si>
  <si>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</si>
  <si>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</si>
  <si>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</si>
  <si>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</si>
  <si>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</si>
  <si>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</si>
  <si>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</si>
  <si>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</si>
  <si>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</si>
  <si>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</si>
  <si>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</si>
  <si>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</si>
  <si>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</si>
  <si>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</si>
  <si>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</si>
  <si>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</si>
  <si>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</si>
  <si>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</si>
  <si>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</si>
  <si>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</si>
  <si>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</si>
  <si>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</si>
  <si>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</si>
  <si>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</si>
  <si>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</si>
  <si>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</si>
  <si>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</si>
  <si>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</si>
  <si>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</si>
  <si>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</si>
  <si>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</si>
  <si>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</si>
  <si>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</si>
  <si>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</si>
  <si>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</si>
  <si>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</si>
  <si>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</si>
  <si>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</si>
  <si>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</si>
  <si>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</si>
  <si>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</si>
  <si>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</si>
  <si>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</si>
  <si>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</si>
  <si>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</si>
  <si>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</si>
  <si>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</si>
  <si>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</si>
  <si>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</si>
  <si>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</si>
  <si>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</si>
  <si>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</si>
  <si>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</si>
  <si>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</si>
  <si>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</si>
  <si>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</si>
  <si>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</si>
  <si>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</si>
  <si>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</si>
  <si>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</si>
  <si>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</si>
  <si>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</si>
  <si>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</si>
  <si>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</si>
  <si>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</si>
  <si>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</si>
  <si>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</si>
  <si>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</si>
  <si>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</si>
  <si>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</si>
  <si>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</si>
  <si>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</si>
  <si>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</si>
  <si>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</si>
  <si>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</si>
  <si>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</si>
  <si>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</si>
  <si>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</si>
  <si>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</si>
  <si>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</si>
  <si>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</si>
  <si>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</si>
  <si>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</si>
  <si>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</si>
  <si>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</si>
  <si>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</si>
  <si>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</si>
  <si>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</si>
  <si>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</si>
  <si>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</si>
  <si>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</si>
  <si>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</si>
  <si>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</si>
  <si>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</si>
  <si>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</si>
  <si>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</si>
  <si>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</si>
  <si>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</si>
  <si>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</si>
  <si>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</si>
  <si>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</si>
  <si>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</si>
  <si>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</si>
  <si>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</si>
  <si>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</si>
  <si>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</si>
  <si>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</si>
  <si>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</si>
  <si>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</si>
  <si>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</si>
  <si>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</si>
  <si>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</si>
  <si>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</si>
  <si>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</si>
  <si>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</si>
  <si>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</si>
  <si>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</si>
  <si>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</si>
  <si>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</si>
  <si>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</si>
  <si>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</si>
  <si>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</si>
  <si>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</si>
  <si>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</si>
  <si>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</si>
  <si>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</si>
  <si>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</si>
  <si>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</si>
  <si>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</si>
  <si>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</si>
  <si>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</si>
  <si>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</si>
  <si>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</si>
  <si>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</si>
  <si>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</si>
  <si>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</si>
  <si>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</si>
  <si>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</si>
  <si>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</si>
  <si>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</si>
  <si>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</si>
  <si>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</si>
  <si>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</si>
  <si>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</si>
  <si>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</si>
  <si>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</si>
  <si>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</si>
  <si>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</si>
  <si>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</si>
  <si>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</si>
  <si>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</si>
  <si>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</si>
  <si>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</si>
  <si>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</si>
  <si>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</si>
  <si>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</si>
  <si>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</si>
  <si>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</si>
  <si>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</si>
  <si>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</si>
  <si>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</si>
  <si>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</si>
  <si>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</si>
  <si>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</si>
  <si>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</si>
  <si>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</si>
  <si>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</si>
  <si>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</si>
  <si>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</si>
  <si>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</si>
  <si>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</si>
  <si>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</si>
  <si>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</si>
  <si>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</si>
  <si>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</si>
  <si>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</si>
  <si>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</si>
  <si>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</si>
  <si>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</si>
  <si>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</si>
  <si>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</si>
  <si>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</si>
  <si>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</si>
  <si>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</si>
  <si>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</si>
  <si>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</si>
  <si>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</si>
  <si>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</si>
  <si>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</si>
  <si>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</si>
  <si>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</si>
  <si>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</si>
  <si>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</si>
  <si>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</si>
  <si>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</si>
  <si>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</si>
  <si>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</si>
  <si>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</si>
  <si>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</si>
  <si>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</si>
  <si>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</si>
  <si>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</si>
  <si>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</si>
  <si>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</si>
  <si>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</si>
  <si>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</si>
  <si>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</si>
  <si>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</si>
  <si>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</si>
  <si>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</si>
  <si>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</si>
  <si>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</si>
  <si>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</si>
  <si>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</si>
  <si>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</si>
  <si>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</si>
  <si>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</si>
  <si>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</si>
  <si>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</si>
  <si>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</si>
  <si>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</si>
  <si>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</si>
  <si>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</si>
  <si>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</si>
  <si>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</si>
  <si>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</si>
  <si>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</si>
  <si>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</si>
  <si>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</si>
  <si>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</si>
  <si>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</si>
  <si>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</si>
  <si>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</si>
  <si>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</si>
  <si>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</si>
  <si>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</si>
  <si>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</si>
  <si>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</si>
  <si>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</si>
  <si>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</si>
  <si>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</si>
  <si>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</si>
  <si>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</si>
  <si>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</si>
  <si>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</si>
  <si>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</si>
  <si>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</si>
  <si>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</si>
  <si>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</si>
  <si>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</si>
  <si>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</si>
  <si>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</si>
  <si>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</si>
  <si>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</si>
  <si>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</si>
  <si>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</si>
  <si>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</si>
  <si>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</si>
  <si>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</si>
  <si>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</si>
  <si>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</si>
  <si>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</si>
  <si>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</si>
  <si>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</si>
  <si>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</si>
  <si>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</si>
  <si>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</si>
  <si>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</si>
  <si>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</si>
  <si>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</si>
  <si>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</si>
  <si>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</si>
  <si>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</si>
  <si>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</si>
  <si>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</si>
  <si>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</si>
  <si>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</si>
  <si>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</si>
  <si>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</si>
  <si>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</si>
  <si>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</si>
  <si>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</si>
  <si>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</si>
  <si>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</si>
  <si>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</si>
  <si>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</si>
  <si>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</si>
  <si>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</si>
  <si>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</si>
  <si>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</si>
  <si>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</si>
  <si>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</si>
  <si>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</si>
  <si>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</si>
  <si>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</si>
  <si>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</si>
  <si>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</si>
  <si>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</si>
  <si>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</si>
  <si>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</si>
  <si>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</si>
  <si>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</si>
  <si>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</si>
  <si>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</si>
  <si>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</si>
  <si>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</si>
  <si>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</si>
  <si>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</si>
  <si>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</si>
  <si>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</si>
  <si>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</si>
  <si>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</si>
  <si>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</si>
  <si>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</si>
  <si>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</si>
  <si>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</si>
  <si>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</si>
  <si>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</si>
  <si>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</si>
  <si>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</si>
  <si>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</si>
  <si>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</si>
  <si>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</si>
  <si>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</si>
  <si>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</si>
  <si>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</si>
  <si>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</si>
  <si>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</si>
  <si>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</si>
  <si>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</si>
  <si>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</si>
  <si>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</si>
  <si>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</si>
  <si>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</si>
  <si>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</si>
  <si>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</si>
  <si>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</si>
  <si>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</si>
  <si>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</si>
  <si>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</si>
  <si>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</si>
  <si>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</si>
  <si>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</si>
  <si>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</si>
  <si>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</si>
  <si>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</si>
  <si>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</si>
  <si>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</si>
  <si>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</si>
  <si>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</si>
  <si>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</si>
  <si>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</si>
  <si>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</si>
  <si>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</si>
  <si>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</si>
  <si>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</si>
  <si>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</si>
  <si>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</si>
  <si>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</si>
  <si>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</si>
  <si>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</si>
  <si>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</si>
  <si>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</si>
  <si>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</si>
  <si>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</si>
  <si>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</si>
  <si>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</si>
  <si>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</si>
  <si>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</si>
  <si>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</si>
  <si>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</si>
  <si>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</si>
  <si>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</si>
  <si>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</si>
  <si>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</si>
  <si>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</si>
  <si>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</si>
  <si>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</si>
  <si>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</si>
  <si>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</si>
  <si>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</si>
  <si>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</si>
  <si>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</si>
  <si>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</si>
  <si>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</si>
  <si>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</si>
  <si>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</si>
  <si>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</si>
  <si>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</si>
  <si>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</si>
  <si>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</si>
  <si>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</si>
  <si>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</si>
  <si>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</si>
  <si>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</si>
  <si>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</si>
  <si>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</si>
  <si>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</si>
  <si>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</si>
  <si>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</si>
  <si>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</si>
  <si>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</si>
  <si>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</si>
  <si>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</si>
  <si>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</si>
  <si>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</si>
  <si>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</si>
  <si>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</si>
  <si>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</si>
  <si>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</si>
  <si>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</si>
  <si>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</si>
  <si>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</si>
  <si>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</si>
  <si>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</si>
  <si>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</si>
  <si>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</si>
  <si>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</si>
  <si>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</si>
  <si>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</si>
  <si>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</si>
  <si>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</si>
  <si>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</si>
  <si>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</si>
  <si>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</si>
  <si>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</si>
  <si>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</si>
  <si>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</si>
  <si>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</si>
  <si>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</si>
  <si>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</si>
  <si>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</si>
  <si>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</si>
  <si>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</si>
  <si>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</si>
  <si>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</si>
  <si>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</si>
  <si>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</si>
  <si>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</si>
  <si>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</si>
  <si>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</si>
  <si>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</si>
  <si>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</si>
  <si>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</si>
  <si>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</si>
  <si>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</si>
  <si>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</si>
  <si>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</si>
  <si>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</si>
  <si>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</si>
  <si>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</si>
  <si>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</si>
  <si>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</si>
  <si>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</si>
  <si>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</si>
  <si>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</si>
  <si>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</si>
  <si>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</si>
  <si>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</si>
  <si>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</si>
  <si>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</si>
  <si>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</si>
  <si>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</si>
  <si>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</si>
  <si>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</si>
  <si>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</si>
  <si>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</si>
  <si>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</si>
  <si>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</si>
  <si>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</si>
  <si>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</si>
  <si>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</si>
  <si>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</si>
  <si>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</si>
  <si>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</si>
  <si>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</si>
  <si>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</si>
  <si>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</si>
  <si>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</si>
  <si>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</si>
  <si>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</si>
  <si>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</si>
  <si>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</si>
  <si>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</si>
  <si>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</si>
  <si>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</si>
  <si>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</si>
  <si>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</si>
  <si>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</si>
  <si>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</si>
  <si>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</si>
  <si>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</si>
  <si>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</si>
  <si>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</si>
  <si>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</si>
  <si>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</si>
  <si>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</si>
  <si>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</si>
  <si>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</si>
  <si>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</si>
  <si>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</si>
  <si>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</si>
  <si>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</si>
  <si>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</si>
  <si>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</si>
  <si>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</si>
  <si>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</si>
  <si>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</si>
  <si>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</si>
  <si>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</si>
  <si>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</si>
  <si>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</si>
  <si>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</si>
  <si>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</si>
  <si>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</si>
  <si>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</si>
  <si>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</si>
  <si>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</si>
  <si>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</si>
  <si>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</si>
  <si>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</si>
  <si>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</si>
  <si>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</si>
  <si>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</si>
  <si>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</si>
  <si>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</si>
  <si>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</si>
  <si>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</si>
  <si>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</si>
  <si>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</si>
  <si>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</si>
  <si>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</si>
  <si>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</si>
  <si>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</si>
  <si>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</si>
  <si>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</si>
  <si>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</si>
  <si>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</si>
  <si>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</si>
  <si>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</si>
  <si>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</si>
  <si>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</si>
  <si>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</si>
  <si>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</si>
  <si>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</si>
  <si>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</si>
  <si>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</si>
  <si>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</si>
  <si>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</si>
  <si>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</si>
  <si>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</si>
  <si>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</si>
  <si>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</si>
  <si>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</si>
  <si>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</si>
  <si>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</si>
  <si>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</si>
  <si>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</si>
  <si>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</si>
  <si>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</si>
  <si>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</si>
  <si>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</si>
  <si>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</si>
  <si>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</si>
  <si>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</si>
  <si>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</si>
  <si>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</si>
  <si>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</si>
  <si>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</si>
  <si>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</si>
  <si>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</si>
  <si>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</si>
  <si>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</si>
  <si>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</si>
  <si>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</si>
  <si>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</si>
  <si>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</si>
  <si>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</si>
  <si>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</si>
  <si>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</si>
  <si>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</si>
  <si>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</si>
  <si>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</si>
  <si>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</si>
  <si>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</si>
  <si>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</si>
  <si>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</si>
  <si>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</si>
  <si>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</si>
  <si>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</si>
  <si>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</si>
  <si>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</si>
  <si>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</si>
  <si>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</si>
  <si>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</si>
  <si>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</si>
  <si>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</si>
  <si>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</si>
  <si>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</si>
  <si>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</si>
  <si>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</si>
  <si>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</si>
  <si>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</si>
  <si>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</si>
  <si>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</si>
  <si>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</si>
  <si>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</si>
  <si>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</si>
  <si>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</si>
  <si>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</si>
  <si>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</si>
  <si>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</si>
  <si>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</si>
  <si>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</si>
  <si>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</si>
  <si>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</si>
  <si>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</si>
  <si>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</si>
  <si>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</si>
  <si>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</si>
  <si>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</si>
  <si>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</si>
  <si>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</si>
  <si>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</si>
  <si>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</si>
  <si>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</si>
  <si>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</si>
  <si>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</si>
  <si>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</si>
  <si>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</si>
  <si>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</si>
  <si>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</si>
  <si>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</si>
  <si>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</si>
  <si>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</si>
  <si>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</si>
  <si>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</si>
  <si>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</si>
  <si>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</si>
  <si>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</si>
  <si>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</si>
  <si>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</si>
  <si>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</si>
  <si>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</si>
  <si>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</si>
  <si>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</si>
  <si>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</si>
  <si>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</si>
  <si>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</si>
  <si>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</si>
  <si>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</si>
  <si>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</si>
  <si>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</si>
  <si>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</si>
  <si>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</si>
  <si>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</si>
  <si>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</si>
  <si>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</si>
  <si>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</si>
  <si>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</si>
  <si>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</si>
  <si>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</si>
  <si>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</si>
  <si>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</si>
  <si>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</si>
  <si>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</si>
  <si>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</si>
  <si>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</si>
  <si>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</si>
  <si>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</si>
  <si>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</si>
  <si>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</si>
  <si>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</si>
  <si>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</si>
  <si>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</si>
  <si>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</si>
  <si>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</si>
  <si>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</si>
  <si>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</si>
  <si>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</si>
  <si>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</si>
  <si>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</si>
  <si>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</si>
  <si>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</si>
  <si>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</si>
  <si>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</si>
  <si>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</si>
  <si>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</si>
  <si>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</si>
  <si>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</si>
  <si>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</si>
  <si>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</si>
  <si>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</si>
  <si>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</si>
  <si>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</si>
  <si>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</si>
  <si>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</si>
  <si>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</si>
  <si>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</si>
  <si>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</si>
  <si>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</si>
  <si>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</si>
  <si>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</si>
  <si>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</si>
  <si>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</si>
  <si>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</si>
  <si>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</si>
  <si>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</si>
  <si>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</si>
  <si>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</si>
  <si>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</si>
  <si>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</si>
  <si>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</si>
  <si>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</si>
  <si>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</si>
  <si>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</si>
  <si>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</si>
  <si>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</si>
  <si>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</si>
  <si>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</si>
  <si>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</si>
  <si>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</si>
  <si>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</si>
  <si>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</si>
  <si>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</si>
  <si>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</si>
  <si>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</si>
  <si>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</si>
  <si>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</si>
  <si>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</si>
  <si>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</si>
  <si>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</si>
  <si>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</si>
  <si>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</si>
  <si>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</si>
  <si>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</si>
  <si>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</si>
  <si>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</si>
  <si>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</si>
  <si>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</si>
  <si>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</si>
  <si>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</si>
  <si>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</si>
  <si>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</si>
  <si>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</si>
  <si>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</si>
  <si>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</si>
  <si>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</si>
  <si>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</si>
  <si>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</si>
  <si>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</si>
  <si>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</si>
  <si>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</si>
  <si>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</si>
  <si>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</si>
  <si>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</si>
  <si>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</si>
  <si>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</si>
  <si>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</si>
  <si>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</si>
  <si>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</si>
  <si>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</si>
  <si>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</si>
  <si>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</si>
  <si>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</si>
  <si>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</si>
  <si>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</si>
  <si>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</si>
  <si>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</si>
  <si>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</si>
  <si>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</si>
  <si>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</si>
  <si>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</si>
  <si>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</si>
  <si>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</si>
  <si>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</si>
  <si>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</si>
  <si>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</si>
  <si>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</si>
  <si>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</si>
  <si>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</si>
  <si>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</si>
  <si>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</si>
  <si>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</si>
  <si>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</si>
  <si>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</si>
  <si>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</si>
  <si>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</si>
  <si>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</si>
  <si>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</si>
  <si>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</si>
  <si>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</si>
  <si>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</si>
  <si>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</si>
  <si>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</si>
  <si>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</si>
  <si>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</si>
  <si>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</si>
  <si>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</si>
  <si>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</si>
  <si>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</si>
  <si>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</si>
  <si>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</si>
  <si>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</si>
  <si>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</si>
  <si>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</si>
  <si>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</si>
  <si>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</si>
  <si>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</si>
  <si>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</si>
  <si>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</si>
  <si>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</si>
  <si>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</si>
  <si>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</si>
  <si>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</si>
  <si>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</si>
  <si>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</si>
  <si>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</si>
  <si>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</si>
  <si>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</si>
  <si>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</si>
  <si>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</si>
  <si>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</si>
  <si>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</si>
  <si>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</si>
  <si>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</si>
  <si>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</si>
  <si>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</si>
  <si>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</si>
  <si>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</si>
  <si>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</si>
  <si>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</si>
  <si>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</si>
  <si>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</si>
  <si>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</si>
  <si>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</si>
  <si>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</si>
  <si>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</si>
  <si>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</si>
  <si>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</si>
  <si>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</si>
  <si>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</si>
  <si>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</si>
  <si>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</si>
  <si>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</si>
  <si>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</si>
  <si>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</si>
  <si>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</si>
  <si>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</si>
  <si>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</si>
  <si>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</si>
  <si>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</si>
  <si>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</si>
  <si>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</si>
  <si>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</si>
  <si>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</si>
  <si>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</si>
  <si>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</si>
  <si>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</si>
  <si>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</si>
  <si>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</si>
  <si>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</si>
  <si>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</si>
  <si>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</si>
  <si>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</si>
  <si>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</si>
  <si>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</si>
  <si>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</si>
  <si>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</si>
  <si>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</si>
  <si>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</si>
  <si>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</si>
  <si>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</si>
  <si>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</si>
  <si>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</si>
  <si>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</si>
  <si>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</si>
  <si>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</si>
  <si>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</si>
  <si>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</si>
  <si>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</si>
  <si>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</si>
  <si>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</si>
  <si>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</si>
  <si>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</si>
  <si>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</si>
  <si>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</si>
  <si>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</si>
  <si>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</si>
  <si>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</si>
  <si>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</si>
  <si>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</si>
  <si>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</si>
  <si>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</si>
  <si>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</si>
  <si>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</si>
  <si>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</si>
  <si>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</si>
  <si>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</si>
  <si>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</si>
  <si>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</si>
  <si>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</si>
  <si>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</si>
  <si>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</si>
  <si>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</si>
  <si>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</si>
  <si>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</si>
  <si>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</si>
  <si>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</si>
  <si>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</si>
  <si>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</si>
  <si>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</si>
  <si>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</si>
  <si>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</si>
  <si>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</si>
  <si>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</si>
  <si>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</si>
  <si>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</si>
  <si>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</si>
  <si>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</si>
  <si>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</si>
  <si>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</si>
  <si>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</si>
  <si>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</si>
  <si>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</si>
  <si>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</si>
  <si>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</si>
  <si>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</si>
  <si>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</si>
  <si>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</si>
  <si>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</si>
  <si>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</si>
  <si>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</si>
  <si>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</si>
  <si>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</si>
  <si>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</si>
  <si>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</si>
  <si>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</si>
  <si>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</si>
  <si>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</si>
  <si>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</si>
  <si>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</si>
  <si>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</si>
  <si>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</si>
  <si>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</si>
  <si>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</si>
  <si>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</si>
  <si>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</si>
  <si>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</si>
  <si>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</si>
  <si>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</si>
  <si>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</si>
  <si>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</si>
  <si>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</si>
  <si>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</si>
  <si>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</si>
  <si>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</si>
  <si>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</si>
  <si>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</si>
  <si>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</si>
  <si>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</si>
  <si>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</si>
  <si>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</si>
  <si>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</si>
  <si>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</si>
  <si>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</si>
  <si>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</si>
  <si>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</si>
  <si>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</si>
  <si>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</si>
  <si>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</si>
  <si>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</si>
  <si>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</si>
  <si>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</si>
  <si>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</si>
  <si>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</si>
  <si>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</si>
  <si>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</si>
  <si>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</si>
  <si>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</si>
  <si>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</si>
  <si>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</si>
  <si>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</si>
  <si>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</si>
  <si>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</si>
  <si>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</si>
  <si>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</si>
  <si>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</si>
  <si>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</si>
  <si>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</si>
  <si>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</si>
  <si>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</si>
  <si>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</si>
  <si>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</si>
  <si>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</si>
  <si>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</si>
  <si>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</si>
  <si>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</si>
  <si>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</si>
  <si>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</si>
  <si>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</si>
  <si>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</si>
  <si>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</si>
  <si>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</si>
  <si>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</si>
  <si>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</si>
  <si>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</si>
  <si>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</si>
  <si>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</si>
  <si>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</si>
  <si>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</si>
  <si>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</si>
  <si>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</si>
  <si>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</si>
  <si>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</si>
  <si>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</si>
  <si>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</si>
  <si>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</si>
  <si>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</si>
  <si>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</si>
  <si>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</si>
  <si>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</si>
  <si>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</si>
  <si>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</si>
  <si>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</si>
  <si>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</si>
  <si>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</si>
  <si>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</si>
  <si>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</si>
  <si>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</si>
  <si>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</si>
  <si>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</si>
  <si>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</si>
  <si>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</si>
  <si>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</si>
  <si>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</si>
  <si>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</si>
  <si>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</si>
  <si>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</si>
  <si>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</si>
  <si>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</si>
  <si>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</si>
  <si>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</si>
  <si>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</si>
  <si>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</si>
  <si>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</si>
  <si>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</si>
  <si>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</si>
  <si>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</si>
  <si>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</si>
  <si>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</si>
  <si>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</si>
  <si>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</si>
  <si>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</si>
  <si>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</si>
  <si>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</si>
  <si>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</si>
  <si>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</si>
  <si>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</si>
  <si>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</si>
  <si>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</si>
  <si>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</si>
  <si>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</si>
  <si>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</si>
  <si>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</si>
  <si>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</si>
  <si>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</si>
  <si>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</si>
  <si>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</si>
  <si>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</si>
  <si>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</si>
  <si>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</si>
  <si>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</si>
  <si>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</si>
  <si>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</si>
  <si>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</si>
  <si>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</si>
  <si>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</si>
  <si>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</si>
  <si>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</si>
  <si>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</si>
  <si>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</si>
  <si>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</si>
  <si>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</si>
  <si>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</si>
  <si>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</si>
  <si>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</si>
  <si>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</si>
  <si>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</si>
  <si>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</si>
  <si>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</si>
  <si>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</si>
  <si>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</si>
  <si>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</si>
  <si>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</si>
  <si>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</si>
  <si>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</si>
  <si>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</si>
  <si>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</si>
  <si>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</si>
  <si>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</si>
  <si>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</si>
  <si>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</si>
  <si>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</si>
  <si>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</si>
  <si>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</si>
  <si>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</si>
  <si>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</si>
  <si>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</si>
  <si>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</si>
  <si>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</si>
  <si>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</si>
  <si>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</si>
  <si>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</si>
  <si>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</si>
  <si>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</si>
  <si>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</si>
  <si>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</si>
  <si>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</si>
  <si>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</si>
  <si>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</si>
  <si>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</si>
  <si>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</si>
  <si>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</si>
  <si>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</si>
  <si>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</si>
  <si>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</si>
  <si>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</si>
  <si>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</si>
  <si>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</si>
  <si>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</si>
  <si>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</si>
  <si>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</si>
  <si>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</si>
  <si>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</si>
  <si>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</si>
  <si>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</si>
  <si>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</si>
  <si>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</si>
  <si>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</si>
  <si>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</si>
  <si>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</si>
  <si>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</si>
  <si>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</si>
  <si>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</si>
  <si>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</si>
  <si>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</si>
  <si>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</si>
  <si>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</si>
  <si>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</si>
  <si>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</si>
  <si>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</si>
  <si>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</si>
  <si>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</si>
  <si>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</si>
  <si>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</si>
  <si>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</si>
  <si>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</si>
  <si>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</si>
  <si>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</si>
  <si>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</si>
  <si>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</si>
  <si>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</si>
  <si>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</si>
  <si>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</si>
  <si>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</si>
  <si>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</si>
  <si>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</si>
  <si>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</si>
  <si>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</si>
  <si>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</si>
  <si>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</si>
  <si>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</si>
  <si>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</si>
  <si>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</si>
  <si>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</si>
  <si>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</si>
  <si>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</si>
  <si>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</si>
  <si>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</si>
  <si>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</si>
  <si>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</si>
  <si>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</si>
  <si>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</si>
  <si>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</si>
  <si>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</si>
  <si>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</si>
  <si>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</si>
  <si>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</si>
  <si>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</si>
  <si>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</si>
  <si>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</si>
  <si>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</si>
  <si>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</si>
  <si>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</si>
  <si>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</si>
  <si>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</si>
  <si>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</si>
  <si>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</si>
  <si>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</si>
  <si>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</si>
  <si>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</si>
  <si>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</si>
  <si>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</si>
  <si>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</si>
  <si>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</si>
  <si>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</si>
  <si>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</si>
  <si>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</si>
  <si>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</si>
  <si>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</si>
  <si>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</si>
  <si>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</si>
  <si>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</si>
  <si>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</si>
  <si>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</si>
  <si>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</si>
  <si>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</si>
  <si>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</si>
  <si>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</si>
  <si>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</si>
  <si>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</si>
  <si>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</si>
  <si>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</si>
  <si>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</si>
  <si>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</si>
  <si>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</si>
  <si>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</si>
  <si>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</si>
  <si>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</si>
  <si>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</si>
  <si>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</si>
  <si>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</si>
  <si>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</si>
  <si>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</si>
  <si>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</si>
  <si>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</si>
  <si>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</si>
  <si>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</si>
  <si>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</si>
  <si>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</si>
  <si>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</si>
  <si>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</si>
  <si>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</si>
  <si>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</si>
  <si>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</si>
  <si>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</si>
  <si>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</si>
  <si>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</si>
  <si>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</si>
  <si>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</si>
  <si>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</si>
  <si>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</si>
  <si>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</si>
  <si>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</si>
  <si>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</si>
  <si>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</si>
  <si>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</si>
  <si>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</si>
  <si>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</si>
  <si>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</si>
  <si>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</si>
  <si>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</si>
  <si>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</si>
  <si>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</si>
  <si>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</si>
  <si>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</si>
  <si>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</si>
  <si>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</si>
  <si>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</si>
  <si>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</si>
  <si>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</si>
  <si>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</si>
  <si>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</si>
  <si>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</si>
  <si>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</si>
  <si>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</si>
  <si>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</si>
  <si>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</si>
  <si>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</si>
  <si>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</si>
  <si>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</si>
  <si>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</si>
  <si>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</si>
  <si>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</si>
  <si>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</si>
  <si>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</si>
  <si>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</si>
  <si>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</si>
  <si>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</si>
  <si>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</si>
  <si>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</si>
  <si>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</si>
  <si>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</si>
  <si>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</si>
  <si>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</si>
  <si>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</si>
  <si>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</si>
  <si>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</si>
  <si>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</si>
  <si>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</si>
  <si>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</si>
  <si>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</si>
  <si>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</si>
  <si>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</si>
  <si>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</si>
  <si>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</si>
  <si>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</si>
  <si>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</si>
  <si>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</si>
  <si>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</si>
  <si>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</si>
  <si>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</si>
  <si>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</si>
  <si>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</si>
  <si>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</si>
  <si>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</si>
  <si>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</si>
  <si>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</si>
  <si>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</si>
  <si>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</si>
  <si>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</si>
  <si>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</si>
  <si>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</si>
  <si>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</si>
  <si>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</si>
  <si>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</si>
  <si>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</si>
  <si>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</si>
  <si>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</si>
  <si>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</si>
  <si>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</si>
  <si>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</si>
  <si>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</si>
  <si>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</si>
  <si>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</si>
  <si>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</si>
  <si>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</si>
  <si>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</si>
  <si>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</si>
  <si>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</si>
  <si>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</si>
  <si>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</si>
  <si>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</si>
  <si>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</si>
  <si>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</si>
  <si>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</si>
  <si>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</si>
  <si>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</si>
  <si>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</si>
  <si>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</si>
  <si>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</si>
  <si>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</si>
  <si>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</si>
  <si>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</si>
  <si>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</si>
  <si>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</si>
  <si>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</si>
  <si>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</si>
  <si>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</si>
  <si>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</si>
  <si>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</si>
  <si>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</si>
  <si>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</si>
  <si>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</si>
  <si>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</si>
  <si>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</si>
  <si>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</si>
  <si>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</si>
  <si>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</si>
  <si>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</si>
  <si>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</si>
  <si>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</si>
  <si>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</si>
  <si>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</si>
  <si>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</si>
  <si>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</si>
  <si>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</si>
  <si>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</si>
  <si>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</si>
  <si>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</si>
  <si>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</si>
  <si>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</si>
  <si>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</si>
  <si>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</si>
  <si>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</si>
  <si>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</si>
  <si>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</si>
  <si>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</si>
  <si>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</si>
  <si>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</si>
  <si>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</si>
  <si>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</si>
  <si>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</si>
  <si>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</si>
  <si>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</si>
  <si>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</si>
  <si>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</si>
  <si>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</si>
  <si>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</si>
  <si>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</si>
  <si>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</si>
  <si>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</si>
  <si>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</si>
  <si>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</si>
  <si>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</si>
  <si>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</si>
  <si>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</si>
  <si>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</si>
  <si>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</si>
  <si>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</si>
  <si>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</si>
  <si>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</si>
  <si>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</si>
  <si>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</si>
  <si>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</si>
  <si>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</si>
  <si>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</si>
  <si>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</si>
  <si>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</si>
  <si>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</si>
  <si>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</si>
  <si>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</si>
  <si>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</si>
  <si>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</si>
  <si>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</si>
  <si>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</si>
  <si>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</si>
  <si>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</si>
  <si>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</si>
  <si>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</si>
  <si>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</si>
  <si>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</si>
  <si>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</si>
  <si>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</si>
  <si>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</si>
  <si>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</si>
  <si>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</si>
  <si>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</si>
  <si>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</si>
  <si>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</si>
  <si>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</si>
  <si>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</si>
  <si>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</si>
  <si>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</si>
  <si>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</si>
  <si>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</si>
  <si>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</si>
  <si>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</si>
  <si>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</si>
  <si>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</si>
  <si>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</si>
  <si>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</si>
  <si>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</si>
  <si>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</si>
  <si>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</si>
  <si>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</si>
  <si>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</si>
  <si>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</si>
  <si>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</si>
  <si>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</si>
  <si>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</si>
  <si>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</si>
  <si>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</si>
  <si>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</si>
  <si>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</si>
  <si>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</si>
  <si>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</si>
  <si>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</si>
  <si>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</si>
  <si>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</si>
  <si>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</si>
  <si>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</si>
  <si>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</si>
  <si>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</si>
  <si>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</si>
  <si>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</si>
  <si>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</si>
  <si>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</si>
  <si>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</si>
  <si>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</si>
  <si>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</si>
  <si>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</si>
  <si>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</si>
  <si>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</si>
  <si>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</si>
  <si>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</si>
  <si>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</si>
  <si>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</si>
  <si>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</si>
  <si>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</si>
  <si>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</si>
  <si>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</si>
  <si>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</si>
  <si>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</si>
  <si>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</si>
  <si>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</si>
  <si>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</si>
  <si>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</si>
  <si>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</si>
  <si>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</si>
  <si>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</si>
  <si>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</si>
  <si>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</si>
  <si>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</si>
  <si>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</si>
  <si>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</si>
  <si>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</si>
  <si>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</si>
  <si>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</si>
  <si>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</si>
  <si>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</si>
  <si>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</si>
  <si>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</si>
  <si>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</si>
  <si>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</si>
  <si>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</si>
  <si>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</si>
  <si>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</si>
  <si>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</si>
  <si>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</si>
  <si>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</si>
  <si>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</si>
  <si>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</si>
  <si>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</si>
  <si>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</si>
  <si>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</si>
  <si>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</si>
  <si>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</si>
  <si>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</si>
  <si>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</si>
  <si>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</si>
  <si>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</si>
  <si>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</si>
  <si>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</si>
  <si>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</si>
  <si>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</si>
  <si>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</si>
  <si>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</si>
  <si>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</si>
  <si>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</si>
  <si>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</si>
  <si>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</si>
  <si>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</si>
  <si>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</si>
  <si>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</si>
  <si>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</si>
  <si>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</si>
  <si>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</si>
  <si>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</si>
  <si>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</si>
  <si>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</si>
  <si>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</si>
  <si>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</si>
  <si>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</si>
  <si>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</si>
  <si>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</si>
  <si>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</si>
  <si>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</si>
  <si>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</si>
  <si>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</si>
  <si>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</si>
  <si>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</si>
  <si>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</si>
  <si>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</si>
  <si>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</si>
  <si>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</si>
  <si>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</si>
  <si>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</si>
  <si>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</si>
  <si>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</si>
  <si>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</si>
  <si>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</si>
  <si>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</si>
  <si>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</si>
  <si>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</si>
  <si>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</si>
  <si>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</si>
  <si>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</si>
  <si>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</si>
  <si>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</si>
  <si>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</si>
  <si>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</si>
  <si>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</si>
  <si>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</si>
  <si>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</si>
  <si>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</si>
  <si>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</si>
  <si>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</si>
  <si>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</si>
  <si>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</si>
  <si>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</si>
  <si>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</si>
  <si>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</si>
  <si>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</si>
  <si>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</si>
  <si>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</si>
  <si>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</si>
  <si>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</si>
  <si>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</si>
  <si>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</si>
  <si>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</si>
  <si>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</si>
  <si>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</si>
  <si>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</si>
  <si>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</si>
  <si>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</si>
  <si>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</si>
  <si>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</si>
  <si>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</si>
  <si>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</si>
  <si>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</si>
  <si>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</si>
  <si>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</si>
  <si>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</si>
  <si>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</si>
  <si>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</si>
  <si>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</si>
  <si>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</si>
  <si>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</si>
  <si>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</si>
  <si>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</si>
  <si>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</si>
  <si>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</si>
  <si>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</si>
  <si>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</si>
  <si>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</si>
  <si>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</si>
  <si>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</si>
  <si>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</si>
  <si>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</si>
  <si>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</si>
  <si>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</si>
  <si>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</si>
  <si>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</si>
  <si>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</si>
  <si>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</si>
  <si>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</si>
  <si>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</si>
  <si>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</si>
  <si>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</si>
  <si>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</si>
  <si>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</si>
  <si>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</si>
  <si>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</si>
  <si>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</si>
  <si>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</si>
  <si>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</si>
  <si>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</si>
  <si>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</si>
  <si>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</si>
  <si>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</si>
  <si>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</si>
  <si>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</si>
  <si>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</si>
  <si>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</si>
  <si>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</si>
  <si>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</si>
  <si>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</si>
  <si>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</si>
  <si>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</si>
  <si>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</si>
  <si>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</si>
  <si>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</si>
  <si>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</si>
  <si>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</si>
  <si>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</si>
  <si>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</si>
  <si>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</si>
  <si>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</si>
  <si>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</si>
  <si>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</si>
  <si>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</si>
  <si>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</si>
  <si>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</si>
  <si>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</si>
  <si>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</si>
  <si>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</si>
  <si>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</si>
  <si>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</si>
  <si>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</si>
  <si>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</si>
  <si>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</si>
  <si>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</si>
  <si>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</si>
  <si>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</si>
  <si>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</si>
  <si>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</si>
  <si>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</si>
  <si>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</si>
  <si>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</si>
  <si>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</si>
  <si>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</si>
  <si>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</si>
  <si>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</si>
  <si>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</si>
  <si>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</si>
  <si>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</si>
  <si>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</si>
  <si>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</si>
  <si>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</si>
  <si>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</si>
  <si>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</si>
  <si>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</si>
  <si>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</si>
  <si>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</si>
  <si>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</si>
  <si>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</si>
  <si>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</si>
  <si>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</si>
  <si>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</si>
  <si>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</si>
  <si>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</si>
  <si>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</si>
  <si>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</si>
  <si>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</si>
  <si>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</si>
  <si>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</si>
  <si>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</si>
  <si>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</si>
  <si>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</si>
  <si>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</si>
  <si>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</si>
  <si>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</si>
  <si>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</si>
  <si>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</si>
  <si>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</si>
  <si>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</si>
  <si>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</si>
  <si>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</si>
  <si>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</si>
  <si>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</si>
  <si>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</si>
  <si>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</si>
  <si>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</si>
  <si>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</si>
  <si>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</si>
  <si>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</si>
  <si>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</si>
  <si>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</si>
  <si>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</si>
  <si>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</si>
  <si>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</si>
  <si>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</si>
  <si>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</si>
  <si>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</si>
  <si>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</si>
  <si>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</si>
  <si>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</si>
  <si>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</si>
  <si>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</si>
  <si>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</si>
  <si>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</si>
  <si>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</si>
  <si>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</si>
  <si>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</si>
  <si>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</si>
  <si>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</si>
  <si>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</si>
  <si>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</si>
  <si>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</si>
  <si>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</si>
  <si>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</si>
  <si>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</si>
  <si>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</si>
  <si>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</si>
  <si>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</si>
  <si>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</si>
  <si>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</si>
  <si>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</si>
  <si>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</si>
  <si>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</si>
  <si>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</si>
  <si>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</si>
  <si>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</si>
  <si>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</si>
  <si>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</si>
  <si>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</si>
  <si>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</si>
  <si>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</si>
  <si>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</si>
  <si>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</si>
  <si>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</si>
  <si>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</si>
  <si>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</si>
  <si>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</si>
  <si>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</si>
  <si>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</si>
  <si>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</si>
  <si>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</si>
  <si>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</si>
  <si>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</si>
  <si>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</si>
  <si>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</si>
  <si>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</si>
  <si>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</si>
  <si>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</si>
  <si>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</si>
  <si>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</si>
  <si>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</si>
  <si>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</si>
  <si>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</si>
  <si>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</si>
  <si>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</si>
  <si>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</si>
  <si>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</si>
  <si>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</si>
  <si>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</si>
  <si>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</si>
  <si>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</si>
  <si>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</si>
  <si>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</si>
  <si>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</si>
  <si>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</si>
  <si>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</si>
  <si>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</si>
  <si>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</si>
  <si>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</si>
  <si>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</si>
  <si>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</si>
  <si>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</si>
  <si>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</si>
  <si>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</si>
  <si>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</si>
  <si>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</si>
  <si>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</si>
  <si>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</si>
  <si>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</si>
  <si>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</si>
  <si>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</si>
  <si>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</si>
  <si>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</si>
  <si>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</si>
  <si>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</si>
  <si>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</si>
  <si>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</si>
  <si>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</si>
  <si>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</si>
  <si>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</si>
  <si>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</si>
  <si>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</si>
  <si>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</si>
  <si>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</si>
  <si>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</si>
  <si>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</si>
  <si>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</si>
  <si>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</si>
  <si>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</si>
  <si>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</si>
  <si>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</si>
  <si>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</si>
  <si>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</si>
  <si>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</si>
  <si>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</si>
  <si>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</si>
  <si>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</si>
  <si>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</si>
  <si>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</si>
  <si>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</si>
  <si>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</si>
  <si>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</si>
  <si>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</si>
  <si>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</si>
  <si>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</si>
  <si>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</si>
  <si>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</si>
  <si>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</si>
  <si>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</si>
  <si>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</si>
  <si>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</si>
  <si>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</si>
  <si>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</si>
  <si>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</si>
  <si>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</si>
  <si>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</si>
  <si>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</si>
  <si>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</si>
  <si>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</si>
  <si>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</si>
  <si>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</si>
  <si>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</si>
  <si>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</si>
  <si>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</si>
  <si>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</si>
  <si>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</si>
  <si>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</si>
  <si>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</si>
  <si>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</si>
  <si>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</si>
  <si>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</si>
  <si>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</si>
  <si>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</si>
  <si>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</si>
  <si>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</si>
  <si>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</si>
  <si>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</si>
  <si>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</si>
  <si>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</si>
  <si>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</si>
  <si>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</si>
  <si>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</si>
  <si>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</si>
  <si>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</si>
  <si>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</si>
  <si>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</si>
  <si>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</si>
  <si>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</si>
  <si>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</si>
  <si>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</si>
  <si>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</si>
  <si>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</si>
  <si>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</si>
  <si>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</si>
  <si>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</si>
  <si>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</si>
  <si>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</si>
  <si>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</si>
  <si>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</si>
  <si>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</si>
  <si>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</si>
  <si>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</si>
  <si>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</si>
  <si>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</si>
  <si>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</si>
  <si>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</si>
  <si>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</si>
  <si>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</si>
  <si>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</si>
  <si>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</si>
  <si>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</si>
  <si>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</si>
  <si>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</si>
  <si>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</si>
  <si>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</si>
  <si>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</si>
  <si>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</si>
  <si>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</si>
  <si>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</si>
  <si>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</si>
  <si>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</si>
  <si>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</si>
  <si>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</si>
  <si>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</si>
  <si>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</si>
  <si>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</si>
  <si>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</si>
  <si>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</si>
  <si>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</si>
  <si>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</si>
  <si>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</si>
  <si>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</si>
  <si>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</si>
  <si>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</si>
  <si>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</si>
  <si>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</si>
  <si>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</si>
  <si>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</si>
  <si>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</si>
  <si>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</si>
  <si>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</si>
  <si>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</si>
  <si>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</si>
  <si>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</si>
  <si>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</si>
  <si>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</si>
  <si>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</si>
  <si>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</si>
  <si>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</si>
  <si>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</si>
  <si>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</si>
  <si>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</si>
  <si>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</si>
  <si>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</si>
  <si>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</si>
  <si>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</si>
  <si>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</si>
  <si>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</si>
  <si>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</si>
  <si>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</si>
  <si>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</si>
  <si>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</si>
  <si>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</si>
  <si>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</si>
  <si>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</si>
  <si>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</si>
  <si>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</si>
  <si>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</si>
  <si>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</si>
  <si>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</si>
  <si>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</si>
  <si>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</si>
  <si>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</si>
  <si>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</si>
  <si>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</si>
  <si>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</si>
  <si>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</si>
  <si>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</si>
  <si>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</si>
  <si>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</si>
  <si>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</si>
  <si>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</si>
  <si>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</si>
  <si>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</si>
  <si>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</si>
  <si>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</si>
  <si>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</si>
  <si>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</si>
  <si>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</si>
  <si>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</si>
  <si>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</si>
  <si>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</si>
  <si>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</si>
  <si>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</si>
  <si>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</si>
  <si>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</si>
  <si>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</si>
  <si>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</si>
  <si>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</si>
  <si>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</si>
  <si>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</si>
  <si>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</si>
  <si>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</si>
  <si>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</si>
  <si>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</si>
  <si>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</si>
  <si>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</si>
  <si>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</si>
  <si>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</si>
  <si>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</si>
  <si>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</si>
  <si>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</si>
  <si>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</si>
  <si>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</si>
  <si>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</si>
  <si>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</si>
  <si>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</si>
  <si>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</si>
  <si>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</si>
  <si>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</si>
  <si>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</si>
  <si>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</si>
  <si>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</si>
  <si>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</si>
  <si>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</si>
  <si>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</si>
  <si>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</si>
  <si>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</si>
  <si>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</si>
  <si>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</si>
  <si>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</si>
  <si>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</si>
  <si>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</si>
  <si>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</si>
  <si>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</si>
  <si>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</si>
  <si>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</si>
  <si>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</si>
  <si>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</si>
  <si>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</si>
  <si>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</si>
  <si>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</si>
  <si>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</si>
  <si>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</si>
  <si>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</si>
  <si>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</si>
  <si>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</si>
  <si>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</si>
  <si>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</si>
  <si>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</si>
  <si>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</si>
  <si>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</si>
  <si>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</si>
  <si>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</si>
  <si>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</si>
  <si>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</si>
  <si>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</si>
  <si>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</si>
  <si>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</si>
  <si>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</si>
  <si>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</si>
  <si>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</si>
  <si>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</si>
  <si>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</si>
  <si>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</si>
  <si>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</si>
  <si>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</si>
  <si>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</si>
  <si>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</si>
  <si>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</si>
  <si>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</si>
  <si>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</si>
  <si>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</si>
  <si>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</si>
  <si>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</si>
  <si>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</si>
  <si>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</si>
  <si>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</si>
  <si>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</si>
  <si>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</si>
  <si>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</si>
  <si>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</si>
  <si>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</si>
  <si>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</si>
  <si>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</si>
  <si>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</si>
  <si>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</si>
  <si>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</si>
  <si>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</si>
  <si>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</si>
  <si>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</si>
  <si>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</si>
  <si>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</si>
  <si>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</si>
  <si>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</si>
  <si>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</si>
  <si>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</si>
  <si>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</si>
  <si>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</si>
  <si>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</si>
  <si>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</si>
  <si>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</si>
  <si>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</si>
  <si>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</si>
  <si>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</si>
  <si>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</si>
  <si>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</si>
  <si>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</si>
  <si>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</si>
  <si>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</si>
  <si>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</si>
  <si>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</si>
  <si>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</si>
  <si>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</si>
  <si>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</si>
  <si>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</si>
  <si>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</si>
  <si>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</si>
  <si>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</si>
  <si>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</si>
  <si>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</si>
  <si>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</si>
  <si>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</si>
  <si>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</si>
  <si>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</si>
  <si>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</si>
  <si>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</si>
  <si>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</si>
  <si>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</si>
  <si>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</si>
  <si>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</si>
  <si>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</si>
  <si>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</si>
  <si>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</si>
  <si>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</si>
  <si>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</si>
  <si>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</si>
  <si>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</si>
  <si>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</si>
  <si>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</si>
  <si>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</si>
  <si>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</si>
  <si>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</si>
  <si>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</si>
  <si>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</si>
  <si>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</si>
  <si>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</si>
  <si>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</si>
  <si>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</si>
  <si>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</si>
  <si>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</si>
  <si>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</si>
  <si>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</si>
  <si>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</si>
  <si>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</si>
  <si>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</si>
  <si>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</si>
  <si>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</si>
  <si>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</si>
  <si>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</si>
  <si>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</si>
  <si>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</si>
  <si>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</si>
  <si>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</si>
  <si>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</si>
  <si>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</si>
  <si>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</si>
  <si>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</si>
  <si>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</si>
  <si>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</si>
  <si>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</si>
  <si>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</si>
  <si>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</si>
  <si>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</si>
  <si>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</si>
  <si>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</si>
  <si>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</si>
  <si>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</si>
  <si>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</si>
  <si>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</si>
  <si>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</si>
  <si>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</si>
  <si>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</si>
  <si>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</si>
  <si>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</si>
  <si>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</si>
  <si>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</si>
  <si>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</si>
  <si>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</si>
  <si>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</si>
  <si>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</si>
  <si>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</si>
  <si>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</si>
  <si>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</si>
  <si>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</si>
  <si>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</si>
  <si>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</si>
  <si>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</si>
  <si>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</si>
  <si>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</si>
  <si>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</si>
  <si>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</si>
  <si>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</si>
  <si>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</si>
  <si>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</si>
  <si>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</si>
  <si>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</si>
  <si>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</si>
  <si>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</si>
  <si>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</si>
  <si>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</si>
  <si>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</si>
  <si>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</si>
  <si>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</si>
  <si>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</si>
  <si>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</si>
  <si>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</si>
  <si>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</si>
  <si>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</si>
  <si>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</si>
  <si>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</si>
  <si>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</si>
  <si>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</si>
  <si>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</si>
  <si>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</si>
  <si>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</si>
  <si>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</si>
  <si>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</si>
  <si>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</si>
  <si>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</si>
  <si>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</si>
  <si>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</si>
  <si>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</si>
  <si>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</si>
  <si>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</si>
  <si>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</si>
  <si>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</si>
  <si>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</si>
  <si>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</si>
  <si>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</si>
  <si>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</si>
  <si>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</si>
  <si>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</si>
  <si>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</si>
  <si>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</si>
  <si>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</si>
  <si>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</si>
  <si>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</si>
  <si>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</si>
  <si>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</si>
  <si>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</si>
  <si>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</si>
  <si>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</si>
  <si>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</si>
  <si>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</si>
  <si>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</si>
  <si>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</si>
  <si>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</si>
  <si>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</si>
  <si>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</si>
  <si>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</si>
  <si>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</si>
  <si>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</si>
  <si>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</si>
  <si>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</si>
  <si>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</si>
  <si>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</si>
  <si>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</si>
  <si>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</si>
  <si>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</si>
  <si>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</si>
  <si>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</si>
  <si>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</si>
  <si>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</si>
  <si>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</si>
  <si>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</si>
  <si>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</si>
  <si>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</si>
  <si>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</si>
  <si>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</si>
  <si>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</si>
  <si>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</si>
  <si>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</si>
  <si>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</si>
  <si>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</si>
  <si>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</si>
  <si>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</si>
  <si>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</si>
  <si>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</si>
  <si>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</si>
  <si>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</si>
  <si>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</si>
  <si>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</si>
  <si>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</si>
  <si>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</si>
  <si>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</si>
  <si>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</si>
  <si>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</si>
  <si>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</si>
  <si>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</si>
  <si>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</si>
  <si>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</si>
  <si>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</si>
  <si>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</si>
  <si>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</si>
  <si>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</si>
  <si>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</si>
  <si>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</si>
  <si>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</si>
  <si>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</si>
  <si>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</si>
  <si>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</si>
  <si>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</si>
  <si>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</si>
  <si>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</si>
  <si>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</si>
  <si>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</si>
  <si>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</si>
  <si>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</si>
  <si>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</si>
  <si>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</si>
  <si>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</si>
  <si>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</si>
  <si>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</si>
  <si>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</si>
  <si>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</si>
  <si>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</si>
  <si>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</si>
  <si>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</si>
  <si>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</si>
  <si>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</si>
  <si>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</si>
  <si>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</si>
  <si>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</si>
  <si>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</si>
  <si>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</si>
  <si>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</si>
  <si>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</si>
  <si>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</si>
  <si>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</si>
  <si>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</si>
  <si>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</si>
  <si>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</si>
  <si>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</si>
  <si>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</si>
  <si>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</si>
  <si>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</si>
  <si>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</si>
  <si>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</si>
  <si>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</si>
  <si>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</si>
  <si>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</si>
  <si>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</si>
  <si>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</si>
  <si>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</si>
  <si>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</si>
  <si>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</si>
  <si>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</si>
  <si>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</si>
  <si>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</si>
  <si>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</si>
  <si>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</si>
  <si>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</si>
  <si>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</si>
  <si>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</si>
  <si>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</si>
  <si>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</si>
  <si>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</si>
  <si>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</si>
  <si>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</si>
  <si>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</si>
  <si>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</si>
  <si>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</si>
  <si>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</si>
  <si>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</si>
  <si>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</si>
  <si>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</si>
  <si>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</si>
  <si>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</si>
  <si>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</si>
  <si>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</si>
  <si>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</si>
  <si>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</si>
  <si>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</si>
  <si>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</si>
  <si>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</si>
  <si>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</si>
  <si>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</si>
  <si>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</si>
  <si>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</si>
  <si>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</si>
  <si>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</si>
  <si>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</si>
  <si>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</si>
  <si>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</si>
  <si>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</si>
  <si>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</si>
  <si>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</si>
  <si>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</si>
  <si>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</si>
  <si>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</si>
  <si>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</si>
  <si>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</si>
  <si>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</si>
  <si>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</si>
  <si>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</si>
  <si>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</si>
  <si>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</si>
  <si>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</si>
  <si>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</si>
  <si>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</si>
  <si>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</si>
  <si>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</si>
  <si>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</si>
  <si>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</si>
  <si>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</si>
  <si>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</si>
  <si>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</si>
  <si>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</si>
  <si>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</si>
  <si>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</si>
  <si>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</si>
  <si>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</si>
  <si>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</si>
  <si>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</si>
  <si>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</si>
  <si>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</si>
  <si>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</si>
  <si>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</si>
  <si>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</si>
  <si>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</si>
  <si>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</si>
  <si>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</si>
  <si>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</si>
  <si>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</si>
  <si>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</si>
  <si>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</si>
  <si>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</si>
  <si>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</si>
  <si>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</si>
  <si>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</si>
  <si>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</si>
  <si>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</si>
  <si>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</si>
  <si>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</si>
  <si>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</si>
  <si>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</si>
  <si>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</si>
  <si>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</si>
  <si>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</si>
  <si>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</si>
  <si>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</si>
  <si>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</si>
  <si>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</si>
  <si>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</si>
  <si>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</si>
  <si>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</si>
  <si>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</si>
  <si>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</si>
  <si>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</si>
  <si>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</si>
  <si>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</si>
  <si>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</si>
  <si>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</si>
  <si>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</si>
  <si>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</si>
  <si>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</si>
  <si>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</si>
  <si>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</si>
  <si>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</si>
  <si>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</si>
  <si>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</si>
  <si>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</si>
  <si>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</si>
  <si>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</si>
  <si>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</si>
  <si>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</si>
  <si>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</si>
  <si>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</si>
  <si>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</si>
  <si>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</si>
  <si>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</si>
  <si>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</si>
  <si>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</si>
  <si>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</si>
  <si>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</si>
  <si>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</si>
  <si>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</si>
  <si>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</si>
  <si>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</si>
  <si>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</si>
  <si>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</si>
  <si>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</si>
  <si>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</si>
  <si>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</si>
  <si>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</si>
  <si>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</si>
  <si>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</si>
  <si>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</si>
  <si>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</si>
  <si>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</si>
  <si>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</si>
  <si>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</si>
  <si>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</si>
  <si>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</si>
  <si>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</si>
  <si>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</si>
  <si>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</si>
  <si>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</si>
  <si>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</si>
  <si>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</si>
  <si>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</si>
  <si>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</si>
  <si>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</si>
  <si>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</si>
  <si>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</si>
  <si>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</si>
  <si>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</si>
  <si>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</si>
  <si>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</si>
  <si>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</si>
  <si>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</si>
  <si>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</si>
  <si>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</si>
  <si>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</si>
  <si>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</si>
  <si>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</si>
  <si>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</si>
  <si>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</si>
  <si>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</si>
  <si>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</si>
  <si>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</si>
  <si>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</si>
  <si>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</si>
  <si>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</si>
  <si>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</si>
  <si>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</si>
  <si>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</si>
  <si>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</si>
  <si>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</si>
  <si>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</si>
  <si>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</si>
  <si>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</si>
  <si>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</si>
  <si>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</si>
  <si>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</si>
  <si>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</si>
  <si>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</si>
  <si>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</si>
  <si>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</si>
  <si>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</si>
  <si>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</si>
  <si>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</si>
  <si>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</si>
  <si>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</si>
  <si>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</si>
  <si>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</si>
  <si>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</si>
  <si>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</si>
  <si>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</si>
  <si>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</si>
  <si>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</si>
  <si>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</si>
  <si>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</si>
  <si>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</si>
  <si>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</si>
  <si>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</si>
  <si>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</si>
  <si>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</si>
  <si>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</si>
  <si>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</si>
  <si>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</si>
  <si>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</si>
  <si>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</si>
  <si>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</si>
  <si>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</si>
  <si>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</si>
  <si>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</si>
  <si>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</si>
  <si>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</si>
  <si>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</si>
  <si>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</si>
  <si>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</si>
  <si>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</si>
  <si>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</si>
  <si>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</si>
  <si>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</si>
  <si>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</si>
  <si>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</si>
  <si>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</si>
  <si>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</si>
  <si>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</si>
  <si>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</si>
  <si>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</si>
  <si>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</si>
  <si>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</si>
  <si>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</si>
  <si>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</si>
  <si>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</si>
  <si>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</si>
  <si>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</si>
  <si>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</si>
  <si>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</si>
  <si>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</si>
  <si>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</si>
  <si>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</si>
  <si>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</si>
  <si>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</si>
  <si>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</si>
  <si>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</si>
  <si>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</si>
  <si>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</si>
  <si>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</si>
  <si>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</si>
  <si>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</si>
  <si>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</si>
  <si>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</si>
  <si>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</si>
  <si>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</si>
  <si>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</si>
  <si>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</si>
  <si>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</si>
  <si>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</si>
  <si>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</si>
  <si>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</si>
  <si>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</si>
  <si>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</si>
  <si>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</si>
  <si>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</si>
  <si>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</si>
  <si>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</si>
  <si>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</si>
  <si>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</si>
  <si>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</si>
  <si>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</si>
  <si>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</si>
  <si>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</si>
  <si>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</si>
  <si>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</si>
  <si>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</si>
  <si>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</si>
  <si>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</si>
  <si>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</si>
  <si>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</si>
  <si>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</si>
  <si>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</si>
  <si>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</si>
  <si>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</si>
  <si>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</si>
  <si>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</si>
  <si>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</si>
  <si>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</si>
  <si>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</si>
  <si>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</si>
  <si>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</si>
  <si>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</si>
  <si>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</si>
  <si>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</si>
  <si>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</si>
  <si>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</si>
  <si>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</si>
  <si>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</si>
  <si>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</si>
  <si>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</si>
  <si>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</si>
  <si>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</si>
  <si>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</si>
  <si>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</si>
  <si>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</si>
  <si>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</si>
  <si>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</si>
  <si>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</si>
  <si>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</si>
  <si>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</si>
  <si>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</si>
  <si>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</si>
  <si>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</si>
  <si>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</si>
  <si>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</si>
  <si>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</si>
  <si>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</si>
  <si>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</si>
  <si>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</si>
  <si>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</si>
  <si>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</si>
  <si>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</si>
  <si>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</si>
  <si>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</si>
  <si>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</si>
  <si>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</si>
  <si>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</si>
  <si>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</si>
  <si>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</si>
  <si>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</si>
  <si>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</si>
  <si>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</si>
  <si>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</si>
  <si>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</si>
  <si>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</si>
  <si>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</si>
  <si>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</si>
  <si>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</si>
  <si>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</si>
  <si>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</si>
  <si>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</si>
  <si>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</si>
  <si>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</si>
  <si>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</si>
  <si>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</si>
  <si>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</si>
  <si>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</si>
  <si>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</si>
  <si>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</si>
  <si>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</si>
  <si>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</si>
  <si>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</si>
  <si>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</si>
  <si>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</si>
  <si>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</si>
  <si>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</si>
  <si>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</si>
  <si>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</si>
  <si>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</si>
  <si>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</si>
  <si>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</si>
  <si>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</si>
  <si>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</si>
  <si>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</si>
  <si>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</si>
  <si>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</si>
  <si>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</si>
  <si>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</si>
  <si>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</si>
  <si>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</si>
  <si>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</si>
  <si>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</si>
  <si>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</si>
  <si>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</si>
  <si>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</si>
  <si>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</si>
  <si>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</si>
  <si>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</si>
  <si>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</si>
  <si>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</si>
  <si>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</si>
  <si>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</si>
  <si>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</si>
  <si>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</si>
  <si>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</si>
  <si>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</si>
  <si>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</si>
  <si>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</si>
  <si>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</si>
  <si>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</si>
  <si>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</si>
  <si>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</si>
  <si>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</si>
  <si>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</si>
  <si>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</si>
  <si>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</si>
  <si>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</si>
  <si>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</si>
  <si>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</si>
  <si>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</si>
  <si>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</si>
  <si>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</si>
  <si>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</si>
  <si>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</si>
  <si>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</si>
  <si>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</si>
  <si>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</si>
  <si>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</si>
  <si>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</si>
  <si>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</si>
  <si>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</si>
  <si>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</si>
  <si>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</si>
  <si>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</si>
  <si>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</si>
  <si>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</si>
  <si>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</si>
  <si>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</si>
  <si>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</si>
  <si>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</si>
  <si>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</si>
  <si>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</si>
  <si>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</si>
  <si>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</si>
  <si>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</si>
  <si>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</si>
  <si>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</si>
  <si>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</si>
  <si>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</si>
  <si>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</si>
  <si>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</si>
  <si>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</si>
  <si>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</si>
  <si>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</si>
  <si>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</si>
  <si>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</si>
  <si>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</si>
  <si>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</si>
  <si>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</si>
  <si>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</si>
  <si>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</si>
  <si>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</si>
  <si>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</si>
  <si>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</si>
  <si>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</si>
  <si>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</si>
  <si>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</si>
  <si>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</si>
  <si>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</si>
  <si>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</si>
  <si>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</si>
  <si>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</si>
  <si>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</si>
  <si>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</si>
  <si>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</si>
  <si>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</si>
  <si>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</si>
  <si>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</si>
  <si>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</si>
  <si>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</si>
  <si>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</si>
  <si>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</si>
  <si>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</si>
  <si>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</si>
  <si>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</si>
  <si>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</si>
  <si>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</si>
  <si>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</si>
  <si>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</si>
  <si>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</si>
  <si>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</si>
  <si>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</si>
  <si>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</si>
  <si>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</si>
  <si>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</si>
  <si>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</si>
  <si>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</si>
  <si>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</si>
  <si>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</si>
  <si>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</si>
  <si>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</si>
  <si>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</si>
  <si>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</si>
  <si>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</si>
  <si>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</si>
  <si>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</si>
  <si>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</si>
  <si>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</si>
  <si>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</si>
  <si>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</si>
  <si>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</si>
  <si>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</si>
  <si>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</si>
  <si>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</si>
  <si>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</si>
  <si>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</si>
  <si>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</si>
  <si>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</si>
  <si>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</si>
  <si>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</si>
  <si>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</si>
  <si>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</si>
  <si>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</si>
  <si>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</si>
  <si>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</si>
  <si>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</si>
  <si>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</si>
  <si>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</si>
  <si>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</si>
  <si>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</si>
  <si>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</si>
  <si>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</si>
  <si>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</si>
  <si>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</si>
  <si>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</si>
  <si>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</si>
  <si>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</si>
  <si>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</si>
  <si>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</si>
  <si>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</si>
  <si>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</si>
  <si>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</si>
  <si>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</si>
  <si>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</si>
  <si>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</si>
  <si>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</si>
  <si>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</si>
  <si>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</si>
  <si>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</si>
  <si>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</si>
  <si>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</si>
  <si>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</si>
  <si>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</si>
  <si>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</si>
  <si>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</si>
  <si>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</si>
  <si>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</si>
  <si>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</si>
  <si>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</si>
  <si>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</si>
  <si>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</si>
  <si>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</si>
  <si>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</si>
  <si>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</si>
  <si>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</si>
  <si>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</si>
  <si>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</si>
  <si>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</si>
  <si>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</si>
  <si>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</si>
  <si>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</si>
  <si>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</si>
  <si>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</si>
  <si>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</si>
  <si>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</si>
  <si>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</si>
  <si>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</si>
  <si>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</si>
  <si>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</si>
  <si>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</si>
  <si>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</si>
  <si>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</si>
  <si>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</si>
  <si>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</si>
  <si>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</si>
  <si>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</si>
  <si>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</si>
  <si>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</si>
  <si>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</si>
  <si>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</si>
  <si>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</si>
  <si>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</si>
  <si>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</si>
  <si>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</si>
  <si>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</si>
  <si>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</si>
  <si>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</si>
  <si>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</si>
  <si>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</si>
  <si>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</si>
  <si>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</si>
  <si>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</si>
  <si>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</si>
  <si>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</si>
  <si>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</si>
  <si>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</si>
  <si>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</si>
  <si>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</si>
  <si>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</si>
  <si>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</si>
  <si>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</si>
  <si>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</si>
  <si>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</si>
  <si>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</si>
  <si>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</si>
  <si>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</si>
  <si>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</si>
  <si>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</si>
  <si>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</si>
  <si>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</si>
  <si>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</si>
  <si>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</si>
  <si>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</si>
  <si>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</si>
  <si>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</si>
  <si>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</si>
  <si>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</si>
  <si>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</si>
  <si>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</si>
  <si>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</si>
  <si>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</si>
  <si>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</si>
  <si>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</si>
  <si>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</si>
  <si>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</si>
  <si>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</si>
  <si>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</si>
  <si>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</si>
  <si>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</si>
  <si>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</si>
  <si>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</si>
  <si>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</si>
  <si>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</si>
  <si>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</si>
  <si>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</si>
  <si>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</si>
  <si>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</si>
  <si>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</si>
  <si>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</si>
  <si>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</si>
  <si>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</si>
  <si>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</si>
  <si>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</si>
  <si>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</si>
  <si>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</si>
  <si>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</si>
  <si>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</si>
  <si>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</si>
  <si>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</si>
  <si>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</si>
  <si>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</si>
  <si>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</si>
  <si>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</si>
  <si>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</si>
  <si>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</si>
  <si>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</si>
  <si>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</si>
  <si>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</si>
  <si>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</si>
  <si>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</si>
  <si>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</si>
  <si>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</si>
  <si>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</si>
  <si>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</si>
  <si>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</si>
  <si>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</si>
  <si>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</si>
  <si>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</si>
  <si>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</si>
  <si>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</si>
  <si>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</si>
  <si>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</si>
  <si>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</si>
  <si>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</si>
  <si>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</si>
  <si>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</si>
  <si>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</si>
  <si>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</si>
  <si>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</si>
  <si>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</si>
  <si>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</si>
  <si>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</si>
  <si>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</si>
  <si>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</si>
  <si>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</si>
  <si>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</si>
  <si>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</si>
  <si>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</si>
  <si>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</si>
  <si>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</si>
  <si>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</si>
  <si>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</si>
  <si>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</si>
  <si>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</si>
  <si>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</si>
  <si>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</si>
  <si>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</si>
  <si>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</si>
  <si>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</si>
  <si>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</si>
  <si>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</si>
  <si>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</si>
  <si>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</si>
  <si>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</si>
  <si>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</si>
  <si>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</si>
  <si>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</si>
  <si>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</si>
  <si>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</si>
  <si>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</si>
  <si>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</si>
  <si>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</si>
  <si>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</si>
  <si>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</si>
  <si>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</si>
  <si>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</si>
  <si>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</si>
  <si>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</si>
  <si>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</si>
  <si>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</si>
  <si>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</si>
  <si>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</si>
  <si>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</si>
  <si>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</si>
  <si>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</si>
  <si>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</si>
  <si>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</si>
  <si>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</si>
  <si>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</si>
  <si>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</si>
  <si>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</si>
  <si>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</si>
  <si>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</si>
  <si>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</si>
  <si>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</si>
  <si>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</si>
  <si>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</si>
  <si>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</si>
  <si>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</si>
  <si>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</si>
  <si>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</si>
  <si>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</si>
  <si>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</si>
  <si>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</si>
  <si>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</si>
  <si>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</si>
  <si>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</si>
  <si>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</si>
  <si>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</si>
  <si>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</si>
  <si>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</si>
  <si>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</si>
  <si>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</si>
  <si>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</si>
  <si>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</si>
  <si>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</si>
  <si>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</si>
  <si>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</si>
  <si>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</si>
  <si>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</si>
  <si>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</si>
  <si>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</si>
  <si>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</si>
  <si>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</si>
  <si>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</si>
  <si>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</si>
  <si>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</si>
  <si>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</si>
  <si>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</si>
  <si>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</si>
  <si>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</si>
  <si>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</si>
  <si>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</si>
  <si>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</si>
  <si>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</si>
  <si>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</si>
  <si>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</si>
  <si>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</si>
  <si>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</si>
  <si>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</si>
  <si>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</si>
  <si>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</si>
  <si>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</si>
  <si>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</si>
  <si>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</si>
  <si>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</si>
  <si>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</si>
  <si>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</si>
  <si>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</si>
  <si>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</si>
  <si>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</si>
  <si>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</si>
  <si>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</si>
  <si>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</si>
  <si>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</si>
  <si>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</si>
  <si>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</si>
  <si>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</si>
  <si>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</si>
  <si>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</si>
  <si>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</si>
  <si>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</si>
  <si>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</si>
  <si>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</si>
  <si>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</si>
  <si>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</si>
  <si>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</si>
  <si>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</si>
  <si>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</si>
  <si>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</si>
  <si>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</si>
  <si>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</si>
  <si>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</si>
  <si>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</si>
  <si>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</si>
  <si>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</si>
  <si>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</si>
  <si>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</si>
  <si>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</si>
  <si>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</si>
  <si>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</si>
  <si>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</si>
  <si>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</si>
  <si>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</si>
  <si>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</si>
  <si>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</si>
  <si>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</si>
  <si>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</si>
  <si>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</si>
  <si>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</si>
  <si>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</si>
  <si>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</si>
  <si>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</si>
  <si>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</si>
  <si>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</si>
  <si>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</si>
  <si>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</si>
  <si>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</si>
  <si>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</si>
  <si>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</si>
  <si>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</si>
  <si>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</si>
  <si>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</si>
  <si>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</si>
  <si>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</si>
  <si>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</si>
  <si>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</si>
  <si>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</si>
  <si>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</si>
  <si>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</si>
  <si>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</si>
  <si>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</si>
  <si>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</si>
  <si>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</si>
  <si>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</si>
  <si>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</si>
  <si>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</si>
  <si>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</si>
  <si>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</si>
  <si>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</si>
  <si>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</si>
  <si>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</si>
  <si>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</si>
  <si>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</si>
  <si>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</si>
  <si>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</si>
  <si>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</si>
  <si>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</si>
  <si>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</si>
  <si>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</si>
  <si>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</si>
  <si>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</si>
  <si>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</si>
  <si>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</si>
  <si>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</si>
  <si>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</si>
  <si>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</si>
  <si>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</si>
  <si>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</si>
  <si>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</si>
  <si>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</si>
  <si>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</si>
  <si>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</si>
  <si>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</si>
  <si>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</si>
  <si>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</si>
  <si>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</si>
  <si>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</si>
  <si>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</si>
  <si>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</si>
  <si>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</si>
  <si>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</si>
  <si>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</si>
  <si>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</si>
  <si>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</si>
  <si>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</si>
  <si>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</si>
  <si>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</si>
  <si>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</si>
  <si>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</si>
  <si>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</si>
  <si>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</si>
  <si>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</si>
  <si>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</si>
  <si>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</si>
  <si>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</si>
  <si>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</si>
  <si>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</si>
  <si>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</si>
  <si>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</si>
  <si>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</si>
  <si>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</si>
  <si>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</si>
  <si>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</si>
  <si>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</si>
  <si>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</si>
  <si>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</si>
  <si>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</si>
  <si>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</si>
  <si>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</si>
  <si>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</si>
  <si>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</si>
  <si>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</si>
  <si>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</si>
  <si>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</si>
  <si>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</si>
  <si>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</si>
  <si>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</si>
  <si>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</si>
  <si>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</si>
  <si>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</si>
  <si>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</si>
  <si>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</si>
  <si>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</si>
  <si>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</si>
  <si>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</si>
  <si>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</si>
  <si>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</si>
  <si>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</si>
  <si>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</si>
  <si>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</si>
  <si>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</si>
  <si>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</si>
  <si>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</si>
  <si>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</si>
  <si>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</si>
  <si>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</si>
  <si>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</si>
  <si>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</si>
  <si>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</si>
  <si>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</si>
  <si>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</si>
  <si>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</si>
  <si>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</si>
  <si>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</si>
  <si>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</si>
  <si>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</si>
  <si>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</si>
  <si>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</si>
  <si>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</si>
  <si>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</si>
  <si>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</si>
  <si>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</si>
  <si>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</si>
  <si>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</si>
  <si>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</si>
  <si>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</si>
  <si>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</si>
  <si>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</si>
  <si>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</si>
  <si>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</si>
  <si>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</si>
  <si>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</si>
  <si>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</si>
  <si>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</si>
  <si>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</si>
  <si>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</si>
  <si>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</si>
  <si>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</si>
  <si>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</si>
  <si>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</si>
  <si>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</si>
  <si>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</si>
  <si>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</si>
  <si>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</si>
  <si>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</si>
  <si>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</si>
  <si>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</si>
  <si>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</si>
  <si>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</si>
  <si>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</si>
  <si>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</si>
  <si>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</si>
  <si>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</si>
  <si>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</si>
  <si>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</si>
  <si>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</si>
  <si>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</si>
  <si>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</si>
  <si>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</si>
  <si>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</si>
  <si>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</si>
  <si>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</si>
  <si>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</si>
  <si>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</si>
  <si>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</si>
  <si>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</si>
  <si>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</si>
  <si>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</si>
  <si>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</si>
  <si>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</si>
  <si>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</si>
  <si>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</si>
  <si>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</si>
  <si>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</si>
  <si>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</si>
  <si>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</si>
  <si>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</si>
  <si>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</si>
  <si>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</si>
  <si>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</si>
  <si>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</si>
  <si>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</si>
  <si>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</si>
  <si>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</si>
  <si>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</si>
  <si>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</si>
  <si>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</si>
  <si>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</si>
  <si>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</si>
  <si>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</si>
  <si>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</si>
  <si>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</si>
  <si>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</si>
  <si>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</si>
  <si>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</si>
  <si>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</si>
  <si>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</si>
  <si>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</si>
  <si>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</si>
  <si>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</si>
  <si>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</si>
  <si>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</si>
  <si>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</si>
  <si>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</si>
  <si>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</si>
  <si>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</si>
  <si>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</si>
  <si>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</si>
  <si>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</si>
  <si>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</si>
  <si>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</si>
  <si>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</si>
  <si>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</si>
  <si>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</si>
  <si>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</si>
  <si>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</si>
  <si>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</si>
  <si>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</si>
  <si>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</si>
  <si>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</si>
  <si>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</si>
  <si>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</si>
  <si>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</si>
  <si>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</si>
  <si>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</si>
  <si>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</si>
  <si>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</si>
  <si>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</si>
  <si>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</si>
  <si>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</si>
  <si>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</si>
  <si>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</si>
  <si>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</si>
  <si>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</si>
  <si>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</si>
  <si>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</si>
  <si>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</si>
  <si>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</si>
  <si>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</si>
  <si>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</si>
  <si>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</si>
  <si>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</si>
  <si>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</si>
  <si>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</si>
  <si>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</si>
  <si>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</si>
  <si>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</si>
  <si>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</si>
  <si>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</si>
  <si>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</si>
  <si>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</si>
  <si>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</si>
  <si>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</si>
  <si>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</si>
  <si>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</si>
  <si>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</si>
  <si>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</si>
  <si>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</si>
  <si>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</si>
  <si>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</si>
  <si>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</si>
  <si>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</si>
  <si>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</si>
  <si>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</si>
  <si>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</si>
  <si>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</si>
  <si>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</si>
  <si>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</si>
  <si>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</si>
  <si>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</si>
  <si>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</si>
  <si>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</si>
  <si>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</si>
  <si>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</si>
  <si>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</si>
  <si>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</si>
  <si>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</si>
  <si>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</si>
  <si>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</si>
  <si>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</si>
  <si>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</si>
  <si>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</si>
  <si>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</si>
  <si>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</si>
  <si>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</si>
  <si>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</si>
  <si>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</si>
  <si>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</si>
  <si>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</si>
  <si>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</si>
  <si>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</si>
  <si>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</si>
  <si>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</si>
  <si>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</si>
  <si>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</si>
  <si>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</si>
  <si>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</si>
  <si>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</si>
  <si>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</si>
  <si>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</si>
  <si>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</si>
  <si>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</si>
  <si>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</si>
  <si>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</si>
  <si>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</si>
  <si>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</si>
  <si>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</si>
  <si>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</si>
  <si>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</si>
  <si>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</si>
  <si>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</si>
  <si>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</si>
  <si>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</si>
  <si>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</si>
  <si>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</si>
  <si>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</si>
  <si>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</si>
  <si>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</si>
  <si>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</si>
  <si>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</si>
  <si>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</si>
  <si>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</si>
  <si>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</si>
  <si>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</si>
  <si>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</si>
  <si>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</si>
  <si>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</si>
  <si>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</si>
  <si>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</si>
  <si>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</si>
  <si>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</si>
  <si>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</si>
  <si>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</si>
  <si>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</si>
  <si>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</si>
  <si>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</si>
  <si>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</si>
  <si>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</si>
  <si>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</si>
  <si>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</si>
  <si>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</si>
  <si>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</si>
  <si>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</si>
  <si>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</si>
  <si>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</si>
  <si>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</si>
  <si>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</si>
  <si>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</si>
  <si>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</si>
  <si>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</si>
  <si>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</si>
  <si>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</si>
  <si>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</si>
  <si>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</si>
  <si>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</si>
  <si>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</si>
  <si>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</si>
  <si>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</si>
  <si>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</si>
  <si>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</si>
  <si>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</si>
  <si>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</si>
  <si>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</si>
  <si>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</si>
  <si>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</si>
  <si>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</si>
  <si>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</si>
  <si>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</si>
  <si>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</si>
  <si>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</si>
  <si>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</si>
  <si>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</si>
  <si>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</si>
  <si>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</si>
  <si>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</si>
  <si>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</si>
  <si>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</si>
  <si>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</si>
  <si>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</si>
  <si>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</si>
  <si>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</si>
  <si>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</si>
  <si>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</si>
  <si>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</si>
  <si>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</si>
  <si>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</si>
  <si>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</si>
  <si>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</si>
  <si>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</si>
  <si>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</si>
  <si>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</si>
  <si>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</si>
  <si>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</si>
  <si>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</si>
  <si>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</si>
  <si>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</si>
  <si>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</si>
  <si>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</si>
  <si>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</si>
  <si>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</si>
  <si>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</si>
  <si>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</si>
  <si>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</si>
  <si>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</si>
  <si>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</si>
  <si>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</si>
  <si>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</si>
  <si>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</si>
  <si>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</si>
  <si>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</si>
  <si>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</si>
  <si>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</si>
  <si>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</si>
  <si>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</si>
  <si>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</si>
  <si>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</si>
  <si>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</si>
  <si>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</si>
  <si>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</si>
  <si>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</si>
  <si>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</si>
  <si>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</si>
  <si>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</si>
  <si>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</si>
  <si>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</si>
  <si>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</si>
  <si>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</si>
  <si>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</si>
  <si>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</si>
  <si>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</si>
  <si>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</si>
  <si>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</si>
  <si>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</si>
  <si>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</si>
  <si>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</si>
  <si>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</si>
  <si>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</si>
  <si>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</si>
  <si>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</si>
  <si>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</si>
  <si>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</si>
  <si>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</si>
  <si>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</si>
  <si>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</si>
  <si>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</si>
  <si>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</si>
  <si>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</si>
  <si>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</si>
  <si>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</si>
  <si>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</si>
  <si>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</si>
  <si>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</si>
  <si>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</si>
  <si>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</si>
  <si>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</si>
  <si>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</si>
  <si>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</si>
  <si>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</si>
  <si>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</si>
  <si>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</si>
  <si>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</si>
  <si>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</si>
  <si>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</si>
  <si>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</si>
  <si>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</si>
  <si>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</si>
  <si>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</si>
  <si>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</si>
  <si>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</si>
  <si>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</si>
  <si>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</si>
  <si>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</si>
  <si>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</si>
  <si>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</si>
  <si>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</si>
  <si>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</si>
  <si>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</si>
  <si>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</si>
  <si>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</si>
  <si>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</si>
  <si>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</si>
  <si>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</si>
  <si>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</si>
  <si>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</si>
  <si>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</si>
  <si>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</si>
  <si>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</si>
  <si>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</si>
  <si>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</si>
  <si>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</si>
  <si>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</si>
  <si>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</si>
  <si>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</si>
  <si>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</si>
  <si>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</si>
  <si>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</si>
  <si>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</si>
  <si>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</si>
  <si>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</si>
  <si>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</si>
  <si>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</si>
  <si>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</si>
  <si>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</si>
  <si>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</si>
  <si>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</si>
  <si>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</si>
  <si>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</si>
  <si>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</si>
  <si>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</si>
  <si>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</si>
  <si>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</si>
  <si>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</si>
  <si>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</si>
  <si>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</si>
  <si>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</si>
  <si>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</si>
  <si>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</si>
  <si>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</si>
  <si>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</si>
  <si>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</si>
  <si>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</si>
  <si>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</si>
  <si>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</si>
  <si>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</si>
  <si>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</si>
  <si>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</si>
  <si>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</si>
  <si>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</si>
  <si>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</si>
  <si>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</si>
  <si>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</si>
  <si>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</si>
  <si>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</si>
  <si>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</si>
  <si>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</si>
  <si>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</si>
  <si>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</si>
  <si>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</si>
  <si>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</si>
  <si>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</si>
  <si>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</si>
  <si>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</si>
  <si>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</si>
  <si>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</si>
  <si>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</si>
  <si>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</si>
  <si>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</si>
  <si>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</si>
  <si>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</si>
  <si>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</si>
  <si>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</si>
  <si>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</si>
  <si>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</si>
  <si>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</si>
  <si>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</si>
  <si>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</si>
  <si>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</si>
  <si>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</si>
  <si>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</si>
  <si>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</si>
  <si>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</si>
  <si>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</si>
  <si>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</si>
  <si>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</si>
  <si>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</si>
  <si>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</si>
  <si>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</si>
  <si>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</si>
  <si>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</si>
  <si>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</si>
  <si>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</si>
  <si>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</si>
  <si>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</si>
  <si>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</si>
  <si>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</si>
  <si>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</si>
  <si>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</si>
  <si>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</si>
  <si>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</si>
  <si>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</si>
  <si>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</si>
  <si>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</si>
  <si>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</si>
  <si>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</si>
  <si>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</si>
  <si>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</si>
  <si>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</si>
  <si>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</si>
  <si>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</si>
  <si>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</si>
  <si>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</si>
  <si>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</si>
  <si>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</si>
  <si>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</si>
  <si>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</si>
  <si>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</si>
  <si>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</si>
  <si>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</si>
  <si>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</si>
  <si>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</si>
  <si>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</si>
  <si>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</si>
  <si>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</si>
  <si>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</si>
  <si>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</si>
  <si>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</si>
  <si>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</si>
  <si>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</si>
  <si>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</si>
  <si>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</si>
  <si>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</si>
  <si>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</si>
  <si>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</si>
  <si>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</si>
  <si>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</si>
  <si>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</si>
  <si>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</si>
  <si>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</si>
  <si>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</si>
  <si>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</si>
  <si>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</si>
  <si>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</si>
  <si>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</si>
  <si>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</si>
  <si>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</si>
  <si>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</si>
  <si>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</si>
  <si>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</si>
  <si>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</si>
  <si>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</si>
  <si>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</si>
  <si>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</si>
  <si>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</si>
  <si>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</si>
  <si>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</si>
  <si>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</si>
  <si>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</si>
  <si>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</si>
  <si>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</si>
  <si>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</si>
  <si>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</si>
  <si>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</si>
  <si>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</si>
  <si>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</si>
  <si>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</si>
  <si>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</si>
  <si>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</si>
  <si>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</si>
  <si>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</si>
  <si>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</si>
  <si>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</si>
  <si>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</si>
  <si>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</si>
  <si>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</si>
  <si>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</si>
  <si>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</si>
  <si>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</si>
  <si>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</si>
  <si>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</si>
  <si>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</si>
  <si>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</si>
  <si>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</si>
  <si>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</si>
  <si>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</si>
  <si>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</si>
  <si>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</si>
  <si>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</si>
  <si>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</si>
  <si>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</si>
  <si>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</si>
  <si>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</si>
  <si>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</si>
  <si>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</si>
  <si>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</si>
  <si>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</si>
  <si>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</si>
  <si>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</si>
  <si>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</si>
  <si>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</si>
  <si>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</si>
  <si>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</si>
  <si>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</si>
  <si>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</si>
  <si>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</si>
  <si>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</si>
  <si>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</si>
  <si>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</si>
  <si>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</si>
  <si>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</si>
  <si>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</si>
  <si>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</si>
  <si>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</si>
  <si>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</si>
  <si>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</si>
  <si>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</si>
  <si>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</si>
  <si>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</si>
  <si>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</si>
  <si>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</si>
  <si>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</si>
  <si>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</si>
  <si>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</si>
  <si>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</si>
  <si>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</si>
  <si>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</si>
  <si>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</si>
  <si>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</si>
  <si>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</si>
  <si>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</si>
  <si>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</si>
  <si>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</si>
  <si>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</si>
  <si>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</si>
  <si>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</si>
  <si>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</si>
  <si>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</si>
  <si>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</si>
  <si>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</si>
  <si>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</si>
  <si>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</si>
  <si>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</si>
  <si>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</si>
  <si>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</si>
  <si>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</si>
  <si>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</si>
  <si>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</si>
  <si>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</si>
  <si>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</si>
  <si>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</si>
  <si>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</si>
  <si>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</si>
  <si>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</si>
  <si>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</si>
  <si>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</si>
  <si>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</si>
  <si>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</si>
  <si>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</si>
  <si>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</si>
  <si>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</si>
  <si>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</si>
  <si>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</si>
  <si>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</si>
  <si>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</si>
  <si>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</si>
  <si>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</si>
  <si>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</si>
  <si>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</si>
  <si>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</si>
  <si>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</si>
  <si>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</si>
  <si>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</si>
  <si>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</si>
  <si>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</si>
  <si>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</si>
  <si>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</si>
  <si>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</si>
  <si>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</si>
  <si>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</si>
  <si>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</si>
  <si>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</si>
  <si>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</si>
  <si>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</si>
  <si>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</si>
  <si>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</si>
  <si>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</si>
  <si>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</si>
  <si>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</si>
  <si>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</si>
  <si>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</si>
  <si>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</si>
  <si>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</si>
  <si>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</si>
  <si>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</si>
  <si>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</si>
  <si>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</si>
  <si>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</si>
  <si>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</si>
  <si>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</si>
  <si>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</si>
  <si>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</si>
  <si>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</si>
  <si>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</si>
  <si>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</si>
  <si>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</si>
  <si>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</si>
  <si>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</si>
  <si>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</si>
  <si>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</si>
  <si>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</si>
  <si>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</si>
  <si>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</si>
  <si>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</si>
  <si>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</si>
  <si>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</si>
  <si>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</si>
  <si>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</si>
  <si>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</si>
  <si>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</si>
  <si>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</si>
  <si>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</si>
  <si>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</si>
  <si>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</si>
  <si>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</si>
  <si>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</si>
  <si>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</si>
  <si>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</si>
  <si>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</si>
  <si>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</si>
  <si>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</si>
  <si>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</si>
  <si>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</si>
  <si>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</si>
  <si>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</si>
  <si>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</si>
  <si>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</si>
  <si>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</si>
  <si>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</si>
  <si>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</si>
  <si>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</si>
  <si>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</si>
  <si>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</si>
  <si>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</si>
  <si>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</si>
  <si>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</si>
  <si>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</si>
  <si>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</si>
  <si>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</si>
  <si>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</si>
  <si>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</si>
  <si>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</si>
  <si>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</si>
  <si>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</si>
  <si>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</si>
  <si>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</si>
  <si>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</si>
  <si>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</si>
  <si>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</si>
  <si>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</si>
  <si>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</si>
  <si>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</si>
  <si>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</si>
  <si>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</si>
  <si>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</si>
  <si>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</si>
  <si>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</si>
  <si>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</si>
  <si>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</si>
  <si>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</si>
  <si>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</si>
  <si>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</si>
  <si>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</si>
  <si>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</si>
  <si>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</si>
  <si>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</si>
  <si>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</si>
  <si>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</si>
  <si>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</si>
  <si>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</si>
  <si>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</si>
  <si>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</si>
  <si>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</si>
  <si>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</si>
  <si>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</si>
  <si>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</si>
  <si>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</si>
  <si>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</si>
  <si>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</si>
  <si>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</si>
  <si>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</si>
  <si>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</si>
  <si>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</si>
  <si>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</si>
  <si>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</si>
  <si>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</si>
  <si>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</si>
  <si>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</si>
  <si>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</si>
  <si>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</si>
  <si>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</si>
  <si>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</si>
  <si>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</si>
  <si>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</si>
  <si>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</si>
  <si>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</si>
  <si>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</si>
  <si>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</si>
  <si>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</si>
  <si>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</si>
  <si>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</si>
  <si>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</si>
  <si>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</si>
  <si>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</si>
  <si>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</si>
  <si>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</si>
  <si>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</si>
  <si>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</si>
  <si>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</si>
  <si>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</si>
  <si>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</si>
  <si>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</si>
  <si>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</si>
  <si>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</si>
  <si>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</si>
  <si>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</si>
  <si>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</si>
  <si>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</si>
  <si>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</si>
  <si>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</si>
  <si>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</si>
  <si>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</si>
  <si>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</si>
  <si>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</si>
  <si>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</si>
  <si>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</si>
  <si>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</si>
  <si>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</si>
  <si>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</si>
  <si>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</si>
  <si>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</si>
  <si>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</si>
  <si>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</si>
  <si>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</si>
  <si>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</si>
  <si>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</si>
  <si>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</si>
  <si>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</si>
  <si>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</si>
  <si>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</si>
  <si>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</si>
  <si>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</si>
  <si>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</si>
  <si>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</si>
  <si>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</si>
  <si>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</si>
  <si>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</si>
  <si>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</si>
  <si>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</si>
  <si>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</si>
  <si>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</si>
  <si>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</si>
  <si>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</si>
  <si>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</si>
  <si>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</si>
  <si>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</si>
  <si>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</si>
  <si>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</si>
  <si>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</si>
  <si>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</si>
  <si>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</si>
  <si>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</si>
  <si>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</si>
  <si>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</si>
  <si>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</si>
  <si>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</si>
  <si>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</si>
  <si>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</si>
  <si>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</si>
  <si>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</si>
  <si>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</si>
  <si>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</si>
  <si>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</si>
  <si>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</si>
  <si>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</si>
  <si>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</si>
  <si>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</si>
  <si>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</si>
  <si>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</si>
  <si>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</si>
  <si>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</si>
  <si>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</si>
  <si>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</si>
  <si>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</si>
  <si>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</si>
  <si>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</si>
  <si>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</si>
  <si>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</si>
  <si>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</si>
  <si>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</si>
  <si>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</si>
  <si>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</si>
  <si>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</si>
  <si>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</si>
  <si>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</si>
  <si>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</si>
  <si>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</si>
  <si>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</si>
  <si>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</si>
  <si>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</si>
  <si>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</si>
  <si>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</si>
  <si>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</si>
  <si>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</si>
  <si>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</si>
  <si>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</si>
  <si>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</si>
  <si>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</si>
  <si>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</si>
  <si>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</si>
  <si>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</si>
  <si>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</si>
  <si>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</si>
  <si>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</si>
  <si>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</si>
  <si>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</si>
  <si>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</si>
  <si>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</si>
  <si>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</si>
  <si>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</si>
  <si>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</si>
  <si>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</si>
  <si>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</si>
  <si>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</si>
  <si>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</si>
  <si>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</si>
  <si>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</si>
  <si>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</si>
  <si>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</si>
  <si>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</si>
  <si>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</si>
  <si>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</si>
  <si>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</si>
  <si>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</si>
  <si>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</si>
  <si>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</si>
  <si>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</si>
  <si>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</si>
  <si>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</si>
  <si>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</si>
  <si>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</si>
  <si>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</si>
  <si>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</si>
  <si>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</si>
  <si>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</si>
  <si>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</si>
  <si>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</si>
  <si>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</si>
  <si>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</si>
  <si>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</si>
  <si>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</si>
  <si>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</si>
  <si>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</si>
  <si>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</si>
  <si>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</si>
  <si>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</si>
  <si>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</si>
  <si>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</si>
  <si>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</si>
  <si>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</si>
  <si>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</si>
  <si>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</si>
  <si>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</si>
  <si>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</si>
  <si>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</si>
  <si>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</si>
  <si>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</si>
  <si>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</si>
  <si>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</si>
  <si>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</si>
  <si>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</si>
  <si>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</si>
  <si>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</si>
  <si>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</si>
  <si>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</si>
  <si>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</si>
  <si>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</si>
  <si>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</si>
  <si>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</si>
  <si>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</si>
  <si>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</si>
  <si>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</si>
  <si>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</si>
  <si>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</si>
  <si>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</si>
  <si>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</si>
  <si>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</si>
  <si>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</si>
  <si>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</si>
  <si>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</si>
  <si>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</si>
  <si>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</si>
  <si>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</si>
  <si>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</si>
  <si>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</si>
  <si>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</si>
  <si>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</si>
  <si>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</si>
  <si>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</si>
  <si>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</si>
  <si>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</si>
  <si>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</si>
  <si>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</si>
  <si>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</si>
  <si>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</si>
  <si>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</si>
  <si>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</si>
  <si>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</si>
  <si>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</si>
  <si>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</si>
  <si>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</si>
  <si>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</si>
  <si>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</si>
  <si>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</si>
  <si>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</si>
  <si>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</si>
  <si>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</si>
  <si>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</si>
  <si>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</si>
  <si>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</si>
  <si>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</si>
  <si>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</si>
  <si>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</si>
  <si>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</si>
  <si>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</si>
  <si>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</si>
  <si>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</si>
  <si>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</si>
  <si>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</si>
  <si>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</si>
  <si>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</si>
  <si>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</si>
  <si>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</si>
  <si>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</si>
  <si>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</si>
  <si>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</si>
  <si>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</si>
  <si>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</si>
  <si>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</si>
  <si>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</si>
  <si>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</si>
  <si>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</si>
  <si>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</si>
  <si>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</si>
  <si>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</si>
  <si>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</si>
  <si>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</si>
  <si>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</si>
  <si>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</si>
  <si>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</si>
  <si>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</si>
  <si>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</si>
  <si>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</si>
  <si>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</si>
  <si>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</si>
  <si>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</si>
  <si>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</si>
  <si>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</si>
  <si>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</si>
  <si>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</si>
  <si>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</si>
  <si>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</si>
  <si>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</si>
  <si>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</si>
  <si>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</si>
  <si>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</si>
  <si>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</si>
  <si>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</si>
  <si>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</si>
  <si>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</si>
  <si>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</si>
  <si>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</si>
  <si>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</si>
  <si>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</si>
  <si>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</si>
  <si>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</si>
  <si>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</si>
  <si>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</si>
  <si>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</si>
  <si>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</si>
  <si>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</si>
  <si>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</si>
  <si>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</si>
  <si>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</si>
  <si>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</si>
  <si>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</si>
  <si>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</si>
  <si>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</si>
  <si>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</si>
  <si>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</si>
  <si>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</si>
  <si>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</si>
  <si>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</si>
  <si>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</si>
  <si>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</si>
  <si>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</si>
  <si>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</si>
  <si>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</si>
  <si>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</si>
  <si>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</si>
  <si>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</si>
  <si>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</si>
  <si>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</si>
  <si>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</si>
  <si>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</si>
  <si>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</si>
  <si>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</si>
  <si>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</si>
  <si>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</si>
  <si>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</si>
  <si>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</si>
  <si>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</si>
  <si>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</si>
  <si>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</si>
  <si>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</si>
  <si>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</si>
  <si>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</si>
  <si>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</si>
  <si>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</si>
  <si>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</si>
  <si>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</si>
  <si>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</si>
  <si>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</si>
  <si>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</si>
  <si>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</si>
  <si>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</si>
  <si>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</si>
  <si>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</si>
  <si>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</si>
  <si>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</si>
  <si>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</si>
  <si>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</si>
  <si>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</si>
  <si>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</si>
  <si>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</si>
  <si>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</si>
  <si>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</si>
  <si>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</si>
  <si>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</si>
  <si>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</si>
  <si>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</si>
  <si>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</si>
  <si>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</si>
  <si>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</si>
  <si>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</si>
  <si>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</si>
  <si>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</si>
  <si>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</si>
  <si>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</si>
  <si>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</si>
  <si>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</si>
  <si>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</si>
  <si>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</si>
  <si>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</si>
  <si>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</si>
  <si>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</si>
  <si>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</si>
  <si>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</si>
  <si>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</si>
  <si>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</si>
  <si>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</si>
  <si>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</si>
  <si>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</si>
  <si>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</si>
  <si>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</si>
  <si>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</si>
  <si>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</si>
  <si>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</si>
  <si>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</si>
  <si>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</si>
  <si>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</si>
  <si>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</si>
  <si>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</si>
  <si>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</si>
  <si>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</si>
  <si>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</si>
  <si>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</si>
  <si>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</si>
  <si>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</si>
  <si>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</si>
  <si>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</si>
  <si>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</si>
  <si>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</si>
  <si>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</si>
  <si>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</si>
  <si>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</si>
  <si>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</si>
  <si>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</si>
  <si>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</si>
  <si>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</si>
  <si>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</si>
  <si>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</si>
  <si>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</si>
  <si>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</si>
  <si>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</si>
  <si>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</si>
  <si>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</si>
  <si>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</si>
  <si>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</si>
  <si>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</si>
  <si>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</si>
  <si>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</si>
  <si>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</si>
  <si>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</si>
  <si>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</si>
  <si>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</si>
  <si>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</si>
  <si>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</si>
  <si>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</si>
  <si>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</si>
  <si>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</si>
  <si>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</si>
  <si>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</si>
  <si>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</si>
  <si>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</si>
  <si>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</si>
  <si>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</si>
  <si>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</si>
  <si>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</si>
  <si>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</si>
  <si>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</si>
  <si>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</si>
  <si>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</si>
  <si>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</si>
  <si>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</si>
  <si>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</si>
  <si>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</si>
  <si>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</si>
  <si>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</si>
  <si>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</si>
  <si>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</si>
  <si>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</si>
  <si>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</si>
  <si>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</si>
  <si>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</si>
  <si>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</si>
  <si>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</si>
  <si>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</si>
  <si>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</si>
  <si>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</si>
  <si>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</si>
  <si>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</si>
  <si>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</si>
  <si>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</si>
  <si>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</si>
  <si>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</si>
  <si>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</si>
  <si>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</si>
  <si>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</si>
  <si>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</si>
  <si>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</si>
  <si>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</si>
  <si>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</si>
  <si>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</si>
  <si>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</si>
  <si>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</si>
  <si>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</si>
  <si>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</si>
  <si>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</si>
  <si>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</si>
  <si>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</si>
  <si>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</si>
  <si>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</si>
  <si>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</si>
  <si>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</si>
  <si>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</si>
  <si>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</si>
  <si>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</si>
  <si>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</si>
  <si>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</si>
  <si>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</si>
  <si>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</si>
  <si>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</si>
  <si>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</si>
  <si>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</si>
  <si>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</si>
  <si>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</si>
  <si>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</si>
  <si>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</si>
  <si>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</si>
  <si>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</si>
  <si>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</si>
  <si>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</si>
  <si>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</si>
  <si>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</si>
  <si>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</si>
  <si>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</si>
  <si>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</si>
  <si>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</si>
  <si>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</si>
  <si>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</si>
  <si>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</si>
  <si>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</si>
  <si>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</si>
  <si>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</si>
  <si>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</si>
  <si>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</si>
  <si>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</si>
  <si>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</si>
  <si>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</si>
  <si>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</si>
  <si>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</si>
  <si>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</si>
  <si>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</si>
  <si>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</si>
  <si>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</si>
  <si>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</si>
  <si>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</si>
  <si>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</si>
  <si>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</si>
  <si>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</si>
  <si>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</si>
  <si>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</si>
  <si>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</si>
  <si>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</si>
  <si>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</si>
  <si>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</si>
  <si>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</si>
  <si>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</si>
  <si>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</si>
  <si>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</si>
  <si>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</si>
  <si>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</si>
  <si>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</si>
  <si>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</si>
  <si>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</si>
  <si>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</si>
  <si>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</si>
  <si>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</si>
  <si>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</si>
  <si>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</si>
  <si>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</si>
  <si>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</si>
  <si>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</si>
  <si>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</si>
  <si>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</si>
  <si>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</si>
  <si>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</si>
  <si>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</si>
  <si>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</si>
  <si>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</si>
  <si>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</si>
  <si>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</si>
  <si>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</si>
  <si>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</si>
  <si>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</si>
  <si>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</si>
  <si>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</si>
  <si>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</si>
  <si>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</si>
  <si>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</si>
  <si>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</si>
  <si>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</si>
  <si>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</si>
  <si>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</si>
  <si>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</si>
  <si>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</si>
  <si>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</si>
  <si>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</si>
  <si>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</si>
  <si>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</si>
  <si>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</si>
  <si>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</si>
  <si>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</si>
  <si>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</si>
  <si>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</si>
  <si>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</si>
  <si>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</si>
  <si>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</si>
  <si>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</si>
  <si>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</si>
  <si>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</si>
  <si>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</si>
  <si>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</si>
  <si>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</si>
  <si>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</si>
  <si>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</si>
  <si>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spar + NICVD</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</si>
  <si>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</si>
  <si>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</si>
  <si>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</si>
  <si>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</si>
  <si>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</si>
  <si>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</si>
  <si>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</si>
  <si>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</si>
  <si>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</si>
  <si>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</si>
  <si>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</si>
  <si>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</si>
  <si>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</si>
  <si>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</si>
  <si>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</si>
  <si>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</si>
  <si>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</si>
  <si>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</si>
  <si>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</si>
  <si>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</si>
  <si>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</si>
  <si>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</si>
  <si>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</si>
  <si>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</si>
  <si>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</si>
  <si>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</si>
  <si>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</si>
  <si>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</si>
  <si>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</si>
  <si>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</si>
  <si>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</si>
  <si>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</si>
  <si>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</si>
  <si>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</si>
  <si>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</si>
  <si>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</si>
  <si>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</si>
  <si>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</si>
  <si>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</si>
  <si>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</si>
  <si>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</si>
  <si>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</si>
  <si>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</si>
  <si>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</si>
  <si>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</si>
  <si>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</si>
  <si>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</si>
  <si>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</si>
  <si>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</si>
  <si>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</si>
  <si>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</si>
  <si>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</si>
  <si>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</si>
  <si>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</si>
  <si>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</si>
  <si>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</si>
  <si>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j out dml</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</si>
  <si>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</si>
  <si>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</si>
  <si>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</si>
  <si>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</si>
  <si>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</si>
  <si>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</si>
  <si>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</si>
  <si>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</si>
  <si>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</si>
  <si>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</si>
  <si>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</si>
  <si>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</si>
  <si>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</si>
  <si>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</si>
  <si>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</si>
  <si>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</si>
  <si>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</si>
  <si>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</si>
  <si>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</si>
  <si>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</si>
  <si>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</si>
  <si>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</si>
  <si>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</si>
  <si>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</si>
  <si>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</si>
  <si>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</si>
  <si>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</si>
  <si>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</si>
  <si>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</si>
  <si>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</si>
  <si>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</si>
  <si>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</si>
  <si>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</si>
  <si>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</si>
  <si>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</si>
  <si>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</si>
  <si>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</si>
  <si>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</si>
  <si>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</si>
  <si>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</si>
  <si>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</si>
  <si>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</si>
  <si>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</si>
  <si>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spar </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</si>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</sst>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3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165" fontId="57" fillId="0" borderId="1" xfId="0" applyNumberFormat="1" applyFont="1" applyFill="1" applyBorder="1" applyAlignment="1">
      <alignment horizontal="left" indent="1"/>
    </xf>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0" fontId="3" fillId="0" borderId="19" xfId="0" applyFont="1" applyBorder="1" applyAlignment="1">
      <alignment horizontal="center"/>
    </xf>
    <xf numFmtId="0" fontId="3" fillId="0" borderId="22" xfId="0" applyFont="1" applyBorder="1" applyAlignment="1">
      <alignment horizont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41</xdr:row>
      <xdr:rowOff>161925</xdr:rowOff>
    </xdr:from>
    <xdr:to>
      <xdr:col>13</xdr:col>
      <xdr:colOff>1090</xdr:colOff>
      <xdr:row>70</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03.502433449074" createdVersion="5" refreshedVersion="6" minRefreshableVersion="3" recordCount="23138" xr:uid="{00000000-000A-0000-FFFF-FFFF2E000000}">
  <cacheSource type="worksheet">
    <worksheetSource ref="A1:H23766" sheet="Posting"/>
  </cacheSource>
  <cacheFields count="8">
    <cacheField name="Date" numFmtId="0">
      <sharedItems containsDate="1" containsBlank="1" containsMixedTypes="1" minDate="2013-12-15T00:00:00" maxDate="2025-02-14T00:00:00" count="256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Various sites"/>
        <s v="spar + NICVD"/>
        <s v="Pfizer"/>
        <s v="j out dml"/>
        <s v="spar "/>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o/m Nueplex" u="1"/>
        <s v="O/M NUEPLEZ" u="1"/>
        <s v="Allied engg" u="1"/>
        <s v="MHR Personal" u="1"/>
        <s v="j outelet" u="1"/>
        <s v="The Royal Cinema"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Hyper Star (Cash Counter)" u="1"/>
        <s v="Cinema Vos" u="1"/>
      </sharedItems>
    </cacheField>
    <cacheField name="Person" numFmtId="0">
      <sharedItems containsBlank="1" count="120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00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Online by BH to Hassan ali for spar copper piping labour"/>
        <s v="Online by adeel to Faqeer muhammad care off adam reger"/>
        <s v="online by adeel to fatemi enterprises for fittings = 83265"/>
        <s v="Online by adeel to anees ur rehman = 100,000"/>
        <s v="Paid MCB chq 2007570443"/>
        <s v="Paid MCB chq 2007570445"/>
        <s v="Paid MCB chq 2007570446"/>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03.636826851849" createdVersion="5" refreshedVersion="6" minRefreshableVersion="3" recordCount="4697" xr:uid="{00000000-000A-0000-FFFF-FFFF2F000000}">
  <cacheSource type="worksheet">
    <worksheetSource ref="A1:H6082" sheet="Supplier"/>
  </cacheSource>
  <cacheFields count="8">
    <cacheField name="Date" numFmtId="0">
      <sharedItems containsNonDate="0" containsDate="1" containsString="0" containsBlank="1" minDate="2015-11-24T00:00:00" maxDate="2025-02-16T00:00:00" count="156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5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NASTP II"/>
        <s v="Zeta Mall"/>
        <s v="Mall of Pindi"/>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3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4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46"/>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7"/>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48"/>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4"/>
    <x v="2"/>
    <x v="8114"/>
    <n v="2000"/>
    <m/>
    <n v="-20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15"/>
    <x v="474"/>
    <x v="8211"/>
    <n v="250"/>
    <m/>
    <n v="-250"/>
    <x v="250"/>
  </r>
  <r>
    <x v="2464"/>
    <x v="134"/>
    <x v="474"/>
    <x v="550"/>
    <n v="1500"/>
    <m/>
    <n v="-1500"/>
    <x v="250"/>
  </r>
  <r>
    <x v="2464"/>
    <x v="132"/>
    <x v="278"/>
    <x v="7645"/>
    <n v="700"/>
    <m/>
    <n v="-700"/>
    <x v="250"/>
  </r>
  <r>
    <x v="2464"/>
    <x v="132"/>
    <x v="286"/>
    <x v="11976"/>
    <n v="1000000"/>
    <m/>
    <n v="-1000000"/>
    <x v="250"/>
  </r>
  <r>
    <x v="2464"/>
    <x v="129"/>
    <x v="278"/>
    <x v="6038"/>
    <n v="35380"/>
    <m/>
    <n v="-35380"/>
    <x v="250"/>
  </r>
  <r>
    <x v="2464"/>
    <x v="141"/>
    <x v="278"/>
    <x v="11977"/>
    <n v="69000"/>
    <m/>
    <n v="-69000"/>
    <x v="250"/>
  </r>
  <r>
    <x v="2465"/>
    <x v="132"/>
    <x v="761"/>
    <x v="11978"/>
    <n v="168000"/>
    <m/>
    <n v="-168000"/>
    <x v="250"/>
  </r>
  <r>
    <x v="2465"/>
    <x v="142"/>
    <x v="58"/>
    <x v="11979"/>
    <n v="18133"/>
    <m/>
    <n v="-18133"/>
    <x v="250"/>
  </r>
  <r>
    <x v="2465"/>
    <x v="136"/>
    <x v="58"/>
    <x v="11979"/>
    <n v="18134"/>
    <m/>
    <n v="-18134"/>
    <x v="250"/>
  </r>
  <r>
    <x v="2465"/>
    <x v="133"/>
    <x v="58"/>
    <x v="11979"/>
    <n v="18133"/>
    <m/>
    <n v="-18133"/>
    <x v="250"/>
  </r>
  <r>
    <x v="2465"/>
    <x v="141"/>
    <x v="278"/>
    <x v="11980"/>
    <n v="80000"/>
    <m/>
    <n v="-80000"/>
    <x v="250"/>
  </r>
  <r>
    <x v="2465"/>
    <x v="137"/>
    <x v="278"/>
    <x v="11801"/>
    <n v="113620"/>
    <m/>
    <n v="-113620"/>
    <x v="250"/>
  </r>
  <r>
    <x v="2465"/>
    <x v="131"/>
    <x v="527"/>
    <x v="11981"/>
    <n v="500000"/>
    <m/>
    <n v="-500000"/>
    <x v="250"/>
  </r>
  <r>
    <x v="2465"/>
    <x v="73"/>
    <x v="278"/>
    <x v="11982"/>
    <n v="28000"/>
    <m/>
    <n v="-28000"/>
    <x v="250"/>
  </r>
  <r>
    <x v="2466"/>
    <x v="108"/>
    <x v="698"/>
    <x v="11983"/>
    <n v="496500"/>
    <m/>
    <n v="-496500"/>
    <x v="250"/>
  </r>
  <r>
    <x v="2466"/>
    <x v="137"/>
    <x v="939"/>
    <x v="11984"/>
    <n v="33000"/>
    <m/>
    <n v="-33000"/>
    <x v="250"/>
  </r>
  <r>
    <x v="2466"/>
    <x v="1"/>
    <x v="919"/>
    <x v="11985"/>
    <n v="100000"/>
    <m/>
    <n v="-100000"/>
    <x v="250"/>
  </r>
  <r>
    <x v="2466"/>
    <x v="73"/>
    <x v="65"/>
    <x v="11986"/>
    <n v="33442"/>
    <m/>
    <n v="-33442"/>
    <x v="250"/>
  </r>
  <r>
    <x v="2466"/>
    <x v="104"/>
    <x v="65"/>
    <x v="11986"/>
    <n v="11859"/>
    <m/>
    <n v="-11859"/>
    <x v="250"/>
  </r>
  <r>
    <x v="2466"/>
    <x v="122"/>
    <x v="65"/>
    <x v="11986"/>
    <n v="70363"/>
    <m/>
    <n v="-70363"/>
    <x v="250"/>
  </r>
  <r>
    <x v="2466"/>
    <x v="103"/>
    <x v="65"/>
    <x v="11986"/>
    <n v="3089"/>
    <m/>
    <n v="-3089"/>
    <x v="250"/>
  </r>
  <r>
    <x v="2466"/>
    <x v="129"/>
    <x v="65"/>
    <x v="11986"/>
    <n v="4850"/>
    <m/>
    <n v="-4850"/>
    <x v="250"/>
  </r>
  <r>
    <x v="2466"/>
    <x v="133"/>
    <x v="65"/>
    <x v="11986"/>
    <n v="2333"/>
    <m/>
    <n v="-2333"/>
    <x v="250"/>
  </r>
  <r>
    <x v="2466"/>
    <x v="132"/>
    <x v="286"/>
    <x v="11987"/>
    <n v="24064"/>
    <m/>
    <n v="-24064"/>
    <x v="250"/>
  </r>
  <r>
    <x v="2467"/>
    <x v="132"/>
    <x v="278"/>
    <x v="11988"/>
    <n v="78400"/>
    <m/>
    <n v="-78400"/>
    <x v="250"/>
  </r>
  <r>
    <x v="2467"/>
    <x v="97"/>
    <x v="599"/>
    <x v="11989"/>
    <n v="100000"/>
    <m/>
    <n v="-100000"/>
    <x v="250"/>
  </r>
  <r>
    <x v="2467"/>
    <x v="129"/>
    <x v="605"/>
    <x v="11534"/>
    <n v="535220"/>
    <m/>
    <n v="-535220"/>
    <x v="250"/>
  </r>
  <r>
    <x v="2467"/>
    <x v="132"/>
    <x v="447"/>
    <x v="11990"/>
    <n v="25000"/>
    <m/>
    <n v="-25000"/>
    <x v="250"/>
  </r>
  <r>
    <x v="2467"/>
    <x v="37"/>
    <x v="592"/>
    <x v="11991"/>
    <n v="500000"/>
    <m/>
    <n v="-500000"/>
    <x v="250"/>
  </r>
  <r>
    <x v="2467"/>
    <x v="132"/>
    <x v="447"/>
    <x v="11990"/>
    <n v="60000"/>
    <m/>
    <n v="-60000"/>
    <x v="250"/>
  </r>
  <r>
    <x v="2468"/>
    <x v="132"/>
    <x v="474"/>
    <x v="11992"/>
    <n v="3000"/>
    <m/>
    <n v="-3000"/>
    <x v="250"/>
  </r>
  <r>
    <x v="2468"/>
    <x v="138"/>
    <x v="474"/>
    <x v="11992"/>
    <n v="1500"/>
    <m/>
    <n v="-1500"/>
    <x v="250"/>
  </r>
  <r>
    <x v="2468"/>
    <x v="132"/>
    <x v="474"/>
    <x v="10970"/>
    <n v="1000"/>
    <m/>
    <n v="-1000"/>
    <x v="250"/>
  </r>
  <r>
    <x v="2468"/>
    <x v="132"/>
    <x v="278"/>
    <x v="11927"/>
    <n v="4600"/>
    <m/>
    <n v="-4600"/>
    <x v="250"/>
  </r>
  <r>
    <x v="2468"/>
    <x v="4"/>
    <x v="2"/>
    <x v="8114"/>
    <n v="5000"/>
    <m/>
    <n v="-5000"/>
    <x v="250"/>
  </r>
  <r>
    <x v="2468"/>
    <x v="4"/>
    <x v="330"/>
    <x v="11993"/>
    <n v="7500"/>
    <m/>
    <n v="-7500"/>
    <x v="250"/>
  </r>
  <r>
    <x v="2468"/>
    <x v="145"/>
    <x v="285"/>
    <x v="11994"/>
    <n v="3400"/>
    <m/>
    <n v="-3400"/>
    <x v="250"/>
  </r>
  <r>
    <x v="2468"/>
    <x v="132"/>
    <x v="278"/>
    <x v="11995"/>
    <n v="8400"/>
    <m/>
    <n v="-8400"/>
    <x v="250"/>
  </r>
  <r>
    <x v="2468"/>
    <x v="89"/>
    <x v="474"/>
    <x v="233"/>
    <n v="800"/>
    <m/>
    <n v="-800"/>
    <x v="250"/>
  </r>
  <r>
    <x v="2468"/>
    <x v="73"/>
    <x v="474"/>
    <x v="8211"/>
    <n v="750"/>
    <m/>
    <n v="-750"/>
    <x v="250"/>
  </r>
  <r>
    <x v="2468"/>
    <x v="73"/>
    <x v="474"/>
    <x v="233"/>
    <n v="700"/>
    <m/>
    <n v="-700"/>
    <x v="250"/>
  </r>
  <r>
    <x v="2468"/>
    <x v="4"/>
    <x v="285"/>
    <x v="11996"/>
    <n v="500"/>
    <m/>
    <n v="-500"/>
    <x v="250"/>
  </r>
  <r>
    <x v="2468"/>
    <x v="135"/>
    <x v="474"/>
    <x v="233"/>
    <n v="1000"/>
    <m/>
    <n v="-1000"/>
    <x v="250"/>
  </r>
  <r>
    <x v="2468"/>
    <x v="138"/>
    <x v="2"/>
    <x v="11889"/>
    <n v="2100"/>
    <m/>
    <n v="-2100"/>
    <x v="250"/>
  </r>
  <r>
    <x v="2468"/>
    <x v="114"/>
    <x v="940"/>
    <x v="11997"/>
    <n v="50000"/>
    <m/>
    <n v="-50000"/>
    <x v="250"/>
  </r>
  <r>
    <x v="2468"/>
    <x v="149"/>
    <x v="805"/>
    <x v="11998"/>
    <n v="80000"/>
    <m/>
    <n v="-481120.02000000048"/>
    <x v="250"/>
  </r>
  <r>
    <x v="2468"/>
    <x v="131"/>
    <x v="931"/>
    <x v="11999"/>
    <n v="20800"/>
    <m/>
    <n v="-564385.02000000048"/>
    <x v="250"/>
  </r>
  <r>
    <x v="2468"/>
    <x v="137"/>
    <x v="931"/>
    <x v="11999"/>
    <n v="20800"/>
    <m/>
    <n v="-564385.02000000048"/>
    <x v="250"/>
  </r>
  <r>
    <x v="2468"/>
    <x v="128"/>
    <x v="931"/>
    <x v="11999"/>
    <n v="20800"/>
    <m/>
    <n v="-564385.02000000048"/>
    <x v="250"/>
  </r>
  <r>
    <x v="2468"/>
    <x v="136"/>
    <x v="931"/>
    <x v="11999"/>
    <n v="20865"/>
    <m/>
    <n v="-564385.02000000048"/>
    <x v="250"/>
  </r>
  <r>
    <x v="2468"/>
    <x v="114"/>
    <x v="38"/>
    <x v="12000"/>
    <n v="50000"/>
    <m/>
    <n v="-664385.02000000048"/>
    <x v="250"/>
  </r>
  <r>
    <x v="2468"/>
    <x v="103"/>
    <x v="38"/>
    <x v="12000"/>
    <n v="50000"/>
    <m/>
    <n v="-664385.02000000048"/>
    <x v="250"/>
  </r>
  <r>
    <x v="2460"/>
    <x v="132"/>
    <x v="856"/>
    <x v="12001"/>
    <n v="300000"/>
    <m/>
    <n v="-300000"/>
    <x v="250"/>
  </r>
  <r>
    <x v="2466"/>
    <x v="7"/>
    <x v="25"/>
    <x v="12002"/>
    <n v="59000"/>
    <m/>
    <n v="-59000"/>
    <x v="250"/>
  </r>
  <r>
    <x v="2466"/>
    <x v="97"/>
    <x v="314"/>
    <x v="12003"/>
    <n v="100000"/>
    <m/>
    <n v="-100000"/>
    <x v="250"/>
  </r>
  <r>
    <x v="2460"/>
    <x v="23"/>
    <x v="97"/>
    <x v="12004"/>
    <m/>
    <n v="401676"/>
    <n v="401676"/>
    <x v="250"/>
  </r>
  <r>
    <x v="2460"/>
    <x v="1"/>
    <x v="97"/>
    <x v="12005"/>
    <n v="20000"/>
    <m/>
    <n v="-20000"/>
    <x v="250"/>
  </r>
  <r>
    <x v="2460"/>
    <x v="84"/>
    <x v="97"/>
    <x v="12006"/>
    <m/>
    <n v="1422198"/>
    <n v="1422198"/>
    <x v="250"/>
  </r>
  <r>
    <x v="2468"/>
    <x v="144"/>
    <x v="97"/>
    <x v="12007"/>
    <m/>
    <n v="1000000"/>
    <n v="1000000"/>
    <x v="250"/>
  </r>
  <r>
    <x v="2468"/>
    <x v="76"/>
    <x v="97"/>
    <x v="12008"/>
    <m/>
    <n v="400000"/>
    <n v="400000"/>
    <x v="250"/>
  </r>
  <r>
    <x v="2468"/>
    <x v="76"/>
    <x v="97"/>
    <x v="12008"/>
    <m/>
    <n v="500000"/>
    <n v="500000"/>
    <x v="250"/>
  </r>
  <r>
    <x v="2468"/>
    <x v="76"/>
    <x v="97"/>
    <x v="12008"/>
    <m/>
    <n v="500000"/>
    <n v="500000"/>
    <x v="250"/>
  </r>
  <r>
    <x v="2468"/>
    <x v="76"/>
    <x v="97"/>
    <x v="12008"/>
    <m/>
    <n v="350000"/>
    <n v="350000"/>
    <x v="250"/>
  </r>
  <r>
    <x v="2468"/>
    <x v="76"/>
    <x v="97"/>
    <x v="12008"/>
    <m/>
    <n v="300000"/>
    <n v="300000"/>
    <x v="250"/>
  </r>
  <r>
    <x v="2468"/>
    <x v="76"/>
    <x v="97"/>
    <x v="12008"/>
    <m/>
    <n v="650000"/>
    <n v="650000"/>
    <x v="250"/>
  </r>
  <r>
    <x v="246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4"/>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5"/>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4"/>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4"/>
    <x v="13"/>
    <s v="66"/>
    <n v="1344573"/>
    <m/>
    <n v="1344573"/>
    <m/>
  </r>
  <r>
    <x v="1384"/>
    <x v="151"/>
    <x v="19"/>
    <m/>
    <m/>
    <n v="200000"/>
    <n v="-200000"/>
    <s v="Sheet hawal from al madina = Total = 1000,000"/>
  </r>
  <r>
    <x v="1384"/>
    <x v="155"/>
    <x v="19"/>
    <m/>
    <m/>
    <n v="600000"/>
    <n v="-600000"/>
    <m/>
  </r>
  <r>
    <x v="1384"/>
    <x v="128"/>
    <x v="19"/>
    <m/>
    <m/>
    <n v="200000"/>
    <n v="-200000"/>
    <m/>
  </r>
  <r>
    <x v="1384"/>
    <x v="149"/>
    <x v="3"/>
    <s v="3319"/>
    <n v="22206"/>
    <m/>
    <n v="22206"/>
    <m/>
  </r>
  <r>
    <x v="1385"/>
    <x v="154"/>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4"/>
    <x v="4"/>
    <s v="5688"/>
    <n v="98800"/>
    <m/>
    <n v="98800"/>
    <m/>
  </r>
  <r>
    <x v="1386"/>
    <x v="154"/>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4"/>
    <x v="13"/>
    <s v="24"/>
    <n v="1146636"/>
    <m/>
    <n v="1146636"/>
    <m/>
  </r>
  <r>
    <x v="1390"/>
    <x v="155"/>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5"/>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4"/>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4"/>
    <x v="4"/>
    <s v="5732"/>
    <n v="47500"/>
    <m/>
    <n v="47500"/>
    <m/>
  </r>
  <r>
    <x v="1399"/>
    <x v="149"/>
    <x v="16"/>
    <s v="16910"/>
    <n v="784"/>
    <m/>
    <n v="784"/>
    <m/>
  </r>
  <r>
    <x v="1400"/>
    <x v="147"/>
    <x v="16"/>
    <s v="16969"/>
    <n v="46800"/>
    <m/>
    <n v="46800"/>
    <m/>
  </r>
  <r>
    <x v="1400"/>
    <x v="149"/>
    <x v="4"/>
    <s v="5737"/>
    <n v="98090"/>
    <m/>
    <n v="98090"/>
    <m/>
  </r>
  <r>
    <x v="1401"/>
    <x v="154"/>
    <x v="13"/>
    <m/>
    <m/>
    <n v="550000"/>
    <n v="-550000"/>
    <s v="Chq paid Bank Al Falah To Sami Ducting (By BH)"/>
  </r>
  <r>
    <x v="1402"/>
    <x v="155"/>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4"/>
    <x v="4"/>
    <s v="5748"/>
    <n v="47500"/>
    <m/>
    <n v="47500"/>
    <m/>
  </r>
  <r>
    <x v="1403"/>
    <x v="149"/>
    <x v="4"/>
    <s v="5746"/>
    <n v="22045"/>
    <m/>
    <n v="22045"/>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4"/>
    <x v="13"/>
    <s v="73"/>
    <n v="59366"/>
    <m/>
    <n v="59366"/>
    <m/>
  </r>
  <r>
    <x v="1405"/>
    <x v="77"/>
    <x v="14"/>
    <m/>
    <m/>
    <n v="500000"/>
    <n v="-500000"/>
    <s v="Online by BH to Attock Cement care of Global technologies"/>
  </r>
  <r>
    <x v="1406"/>
    <x v="119"/>
    <x v="19"/>
    <s v="288"/>
    <n v="14432"/>
    <m/>
    <n v="14432"/>
    <m/>
  </r>
  <r>
    <x v="1406"/>
    <x v="149"/>
    <x v="19"/>
    <s v="289"/>
    <n v="25453"/>
    <m/>
    <n v="25453"/>
    <m/>
  </r>
  <r>
    <x v="1406"/>
    <x v="102"/>
    <x v="19"/>
    <s v="290"/>
    <n v="193405"/>
    <m/>
    <n v="193405"/>
    <m/>
  </r>
  <r>
    <x v="1407"/>
    <x v="151"/>
    <x v="19"/>
    <s v="291"/>
    <n v="29373"/>
    <m/>
    <n v="29373"/>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9" firstHeaderRow="0" firstDataRow="1" firstDataCol="1" rowPageCount="3" colPageCount="1"/>
  <pivotFields count="8">
    <pivotField axis="axisPage" showAll="0">
      <items count="2567">
        <item x="249"/>
        <item m="1" x="2528"/>
        <item m="1" x="2489"/>
        <item m="1" x="2513"/>
        <item m="1" x="2515"/>
        <item m="1" x="2549"/>
        <item m="1" x="2540"/>
        <item m="1" x="2546"/>
        <item m="1" x="2471"/>
        <item m="1" x="2553"/>
        <item m="1" x="2511"/>
        <item m="1" x="2554"/>
        <item m="1" x="2524"/>
        <item m="1" x="2557"/>
        <item m="1" x="2487"/>
        <item m="1" x="2485"/>
        <item m="1" x="2470"/>
        <item m="1" x="2497"/>
        <item m="1" x="2561"/>
        <item m="1" x="2527"/>
        <item m="1" x="2529"/>
        <item m="1" x="2531"/>
        <item m="1" x="2541"/>
        <item m="1" x="2503"/>
        <item m="1" x="2539"/>
        <item m="1" x="2516"/>
        <item m="1" x="2523"/>
        <item m="1" x="2544"/>
        <item m="1" x="2479"/>
        <item m="1" x="2519"/>
        <item m="1" x="2542"/>
        <item m="1" x="2484"/>
        <item m="1" x="2558"/>
        <item m="1" x="2550"/>
        <item m="1" x="2562"/>
        <item m="1" x="2500"/>
        <item m="1" x="2526"/>
        <item m="1" x="2559"/>
        <item x="0"/>
        <item m="1" x="2505"/>
        <item m="1" x="2565"/>
        <item m="1" x="2494"/>
        <item x="1"/>
        <item m="1" x="2522"/>
        <item m="1" x="2480"/>
        <item x="2"/>
        <item x="3"/>
        <item m="1" x="2563"/>
        <item m="1" x="2510"/>
        <item m="1" x="2506"/>
        <item m="1" x="2534"/>
        <item m="1" x="2495"/>
        <item m="1" x="2547"/>
        <item x="4"/>
        <item m="1" x="2517"/>
        <item x="5"/>
        <item x="6"/>
        <item m="1" x="247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98"/>
        <item x="157"/>
        <item x="158"/>
        <item x="159"/>
        <item x="160"/>
        <item x="161"/>
        <item x="162"/>
        <item x="163"/>
        <item x="164"/>
        <item x="165"/>
        <item x="166"/>
        <item x="167"/>
        <item x="168"/>
        <item x="169"/>
        <item m="1" x="249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3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2"/>
        <item x="276"/>
        <item x="277"/>
        <item x="278"/>
        <item x="275"/>
        <item m="1" x="2545"/>
        <item x="279"/>
        <item x="280"/>
        <item x="281"/>
        <item x="282"/>
        <item x="283"/>
        <item x="284"/>
        <item x="285"/>
        <item x="286"/>
        <item x="287"/>
        <item x="288"/>
        <item x="289"/>
        <item x="290"/>
        <item x="291"/>
        <item x="292"/>
        <item x="293"/>
        <item x="294"/>
        <item x="295"/>
        <item x="296"/>
        <item m="1" x="2530"/>
        <item x="297"/>
        <item x="298"/>
        <item x="299"/>
        <item m="1" x="2474"/>
        <item x="300"/>
        <item x="302"/>
        <item x="303"/>
        <item x="301"/>
        <item x="304"/>
        <item x="305"/>
        <item x="306"/>
        <item x="307"/>
        <item x="308"/>
        <item x="309"/>
        <item x="310"/>
        <item x="311"/>
        <item x="312"/>
        <item m="1" x="2552"/>
        <item x="313"/>
        <item m="1" x="2475"/>
        <item x="314"/>
        <item x="315"/>
        <item x="316"/>
        <item x="317"/>
        <item x="318"/>
        <item x="319"/>
        <item x="320"/>
        <item x="321"/>
        <item m="1" x="2478"/>
        <item x="323"/>
        <item x="324"/>
        <item x="325"/>
        <item x="326"/>
        <item x="322"/>
        <item x="327"/>
        <item x="328"/>
        <item x="329"/>
        <item x="330"/>
        <item x="331"/>
        <item m="1" x="2490"/>
        <item x="332"/>
        <item m="1" x="2514"/>
        <item x="333"/>
        <item x="334"/>
        <item x="335"/>
        <item x="336"/>
        <item x="337"/>
        <item x="338"/>
        <item x="344"/>
        <item m="1" x="24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4"/>
        <item x="375"/>
        <item x="376"/>
        <item x="373"/>
        <item x="377"/>
        <item x="378"/>
        <item x="379"/>
        <item x="380"/>
        <item m="1" x="2491"/>
        <item x="381"/>
        <item x="382"/>
        <item x="383"/>
        <item x="384"/>
        <item x="385"/>
        <item x="386"/>
        <item x="387"/>
        <item x="388"/>
        <item x="389"/>
        <item x="390"/>
        <item x="391"/>
        <item x="392"/>
        <item x="393"/>
        <item x="394"/>
        <item x="395"/>
        <item x="396"/>
        <item x="397"/>
        <item x="399"/>
        <item x="400"/>
        <item x="401"/>
        <item x="398"/>
        <item x="402"/>
        <item m="1" x="2551"/>
        <item x="403"/>
        <item x="404"/>
        <item x="405"/>
        <item x="406"/>
        <item x="407"/>
        <item x="408"/>
        <item x="409"/>
        <item m="1" x="2533"/>
        <item x="410"/>
        <item x="411"/>
        <item x="421"/>
        <item x="412"/>
        <item x="413"/>
        <item x="414"/>
        <item x="415"/>
        <item x="416"/>
        <item x="417"/>
        <item m="1" x="2536"/>
        <item x="418"/>
        <item x="419"/>
        <item x="420"/>
        <item x="423"/>
        <item x="443"/>
        <item x="424"/>
        <item x="422"/>
        <item x="425"/>
        <item x="426"/>
        <item x="427"/>
        <item x="428"/>
        <item x="429"/>
        <item x="430"/>
        <item x="431"/>
        <item x="432"/>
        <item m="1" x="2521"/>
        <item x="433"/>
        <item x="434"/>
        <item x="435"/>
        <item x="436"/>
        <item x="438"/>
        <item x="437"/>
        <item x="439"/>
        <item x="440"/>
        <item x="442"/>
        <item x="441"/>
        <item x="445"/>
        <item x="446"/>
        <item x="447"/>
        <item x="444"/>
        <item x="448"/>
        <item x="449"/>
        <item x="450"/>
        <item x="451"/>
        <item x="452"/>
        <item x="453"/>
        <item x="454"/>
        <item x="455"/>
        <item x="456"/>
        <item x="457"/>
        <item m="1" x="2556"/>
        <item x="458"/>
        <item x="459"/>
        <item m="1" x="2486"/>
        <item x="460"/>
        <item x="461"/>
        <item x="462"/>
        <item x="463"/>
        <item m="1" x="2537"/>
        <item x="464"/>
        <item x="465"/>
        <item x="466"/>
        <item x="467"/>
        <item x="468"/>
        <item x="469"/>
        <item x="470"/>
        <item m="1" x="2532"/>
        <item x="471"/>
        <item x="472"/>
        <item x="473"/>
        <item x="474"/>
        <item x="475"/>
        <item x="476"/>
        <item x="477"/>
        <item x="478"/>
        <item x="479"/>
        <item x="480"/>
        <item x="481"/>
        <item x="482"/>
        <item x="483"/>
        <item x="484"/>
        <item m="1" x="2512"/>
        <item x="490"/>
        <item x="485"/>
        <item x="486"/>
        <item x="487"/>
        <item x="488"/>
        <item x="489"/>
        <item x="491"/>
        <item x="492"/>
        <item m="1" x="2502"/>
        <item m="1" x="2507"/>
        <item x="503"/>
        <item m="1" x="2525"/>
        <item x="493"/>
        <item x="494"/>
        <item x="504"/>
        <item x="495"/>
        <item x="496"/>
        <item x="497"/>
        <item x="498"/>
        <item x="499"/>
        <item x="500"/>
        <item x="501"/>
        <item x="502"/>
        <item x="505"/>
        <item x="506"/>
        <item x="507"/>
        <item x="508"/>
        <item m="1" x="254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48"/>
        <item x="564"/>
        <item x="565"/>
        <item x="566"/>
        <item x="567"/>
        <item x="568"/>
        <item x="569"/>
        <item x="570"/>
        <item x="571"/>
        <item x="572"/>
        <item x="573"/>
        <item x="574"/>
        <item m="1" x="24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18"/>
        <item x="698"/>
        <item x="708"/>
        <item x="709"/>
        <item x="710"/>
        <item x="699"/>
        <item x="700"/>
        <item x="701"/>
        <item x="702"/>
        <item x="703"/>
        <item x="704"/>
        <item x="705"/>
        <item x="706"/>
        <item x="707"/>
        <item x="711"/>
        <item x="726"/>
        <item x="727"/>
        <item x="734"/>
        <item x="712"/>
        <item x="728"/>
        <item x="729"/>
        <item m="1" x="247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3"/>
        <item x="753"/>
        <item m="1" x="2501"/>
        <item x="740"/>
        <item x="754"/>
        <item x="741"/>
        <item x="742"/>
        <item x="743"/>
        <item x="744"/>
        <item x="745"/>
        <item x="746"/>
        <item x="747"/>
        <item x="755"/>
        <item x="748"/>
        <item x="757"/>
        <item x="758"/>
        <item x="769"/>
        <item x="759"/>
        <item m="1" x="2555"/>
        <item x="760"/>
        <item x="761"/>
        <item x="770"/>
        <item m="1" x="2508"/>
        <item x="762"/>
        <item x="771"/>
        <item x="763"/>
        <item x="764"/>
        <item x="765"/>
        <item x="766"/>
        <item x="772"/>
        <item x="773"/>
        <item x="767"/>
        <item x="768"/>
        <item x="774"/>
        <item x="775"/>
        <item x="790"/>
        <item x="776"/>
        <item x="791"/>
        <item x="777"/>
        <item x="778"/>
        <item x="792"/>
        <item x="779"/>
        <item x="780"/>
        <item x="781"/>
        <item x="782"/>
        <item x="793"/>
        <item x="783"/>
        <item x="794"/>
        <item x="795"/>
        <item x="246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0"/>
        <item x="944"/>
        <item m="1" x="25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8"/>
        <item x="1583"/>
        <item x="1577"/>
        <item x="1578"/>
        <item x="1576"/>
        <item x="1579"/>
        <item x="1580"/>
        <item x="1586"/>
        <item x="1587"/>
        <item x="1581"/>
        <item x="1582"/>
        <item x="1588"/>
        <item x="1589"/>
        <item x="1590"/>
        <item x="1602"/>
        <item x="1612"/>
        <item m="1" x="247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8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t="default"/>
      </items>
    </pivotField>
    <pivotField axis="axisRow" showAll="0">
      <items count="301">
        <item sd="0" x="137"/>
        <item sd="0" x="141"/>
        <item sd="0" m="1" x="237"/>
        <item sd="0" x="142"/>
        <item sd="0" x="143"/>
        <item sd="0" x="144"/>
        <item sd="0" x="133"/>
        <item sd="0" x="138"/>
        <item sd="0" x="139"/>
        <item sd="0" m="1" x="280"/>
        <item sd="0" x="136"/>
        <item sd="0" m="1" x="151"/>
        <item sd="0" x="135"/>
        <item sd="0" x="134"/>
        <item sd="0" m="1" x="167"/>
        <item sd="0" x="132"/>
        <item sd="0" x="131"/>
        <item sd="0" x="130"/>
        <item sd="0" x="129"/>
        <item sd="0" x="120"/>
        <item sd="0" x="109"/>
        <item sd="0" x="118"/>
        <item sd="0" x="119"/>
        <item sd="0" x="125"/>
        <item sd="0" x="117"/>
        <item sd="0" x="122"/>
        <item sd="0" m="1" x="231"/>
        <item sd="0" x="103"/>
        <item sd="0" x="114"/>
        <item sd="0" x="113"/>
        <item sd="0" x="115"/>
        <item sd="0" x="112"/>
        <item sd="0" m="1" x="178"/>
        <item sd="0" x="111"/>
        <item sd="0" x="105"/>
        <item sd="0" m="1" x="179"/>
        <item sd="0" x="104"/>
        <item sd="0" x="102"/>
        <item sd="0" x="108"/>
        <item sd="0" x="106"/>
        <item sd="0" x="98"/>
        <item sd="0" x="101"/>
        <item sd="0" x="99"/>
        <item sd="0" x="97"/>
        <item sd="0" x="94"/>
        <item sd="0" x="96"/>
        <item sd="0" m="1" x="290"/>
        <item sd="0" x="93"/>
        <item sd="0" x="91"/>
        <item sd="0" x="90"/>
        <item sd="0" x="89"/>
        <item sd="0" x="52"/>
        <item sd="0" x="88"/>
        <item sd="0" x="87"/>
        <item sd="0" m="1" x="296"/>
        <item sd="0" x="85"/>
        <item sd="0" x="72"/>
        <item sd="0" x="79"/>
        <item sd="0" x="84"/>
        <item sd="0" x="83"/>
        <item sd="0" m="1" x="17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09"/>
        <item sd="0" x="49"/>
        <item sd="0" x="24"/>
        <item sd="0" x="33"/>
        <item sd="0" x="23"/>
        <item sd="0" x="22"/>
        <item sd="0" x="34"/>
        <item n="JPMC (Main Project)" sd="0" x="11"/>
        <item sd="0" x="18"/>
        <item sd="0" x="48"/>
        <item sd="0" x="46"/>
        <item sd="0" x="45"/>
        <item sd="0" x="37"/>
        <item sd="0" x="47"/>
        <item sd="0" m="1" x="181"/>
        <item sd="0" x="44"/>
        <item sd="0" m="1" x="236"/>
        <item sd="0" x="42"/>
        <item sd="0" x="40"/>
        <item sd="0" x="15"/>
        <item sd="0" x="27"/>
        <item sd="0" x="30"/>
        <item sd="0" x="25"/>
        <item sd="0" x="29"/>
        <item sd="0" x="8"/>
        <item sd="0" x="9"/>
        <item sd="0" m="1" x="263"/>
        <item sd="0" m="1" x="215"/>
        <item sd="0" m="1" x="294"/>
        <item sd="0" m="1" x="158"/>
        <item sd="0" m="1" x="299"/>
        <item sd="0" m="1" x="239"/>
        <item sd="0" x="13"/>
        <item sd="0" m="1" x="285"/>
        <item sd="0" m="1" x="295"/>
        <item sd="0" m="1" x="298"/>
        <item sd="0" m="1" x="218"/>
        <item sd="0" m="1" x="205"/>
        <item sd="0" m="1" x="287"/>
        <item sd="0" m="1" x="222"/>
        <item sd="0" m="1" x="169"/>
        <item sd="0" m="1" x="224"/>
        <item sd="0" m="1" x="221"/>
        <item sd="0" m="1" x="235"/>
        <item sd="0" m="1" x="214"/>
        <item sd="0" x="17"/>
        <item sd="0" m="1" x="246"/>
        <item sd="0" m="1" x="225"/>
        <item sd="0" m="1" x="160"/>
        <item sd="0" x="14"/>
        <item sd="0" m="1" x="154"/>
        <item sd="0" x="86"/>
        <item sd="0" m="1" x="194"/>
        <item sd="0" m="1" x="184"/>
        <item sd="0" m="1" x="269"/>
        <item sd="0" m="1" x="230"/>
        <item sd="0" m="1" x="217"/>
        <item sd="0" m="1" x="281"/>
        <item sd="0" m="1" x="254"/>
        <item sd="0" m="1" x="226"/>
        <item sd="0" m="1" x="193"/>
        <item sd="0" m="1" x="212"/>
        <item sd="0" m="1" x="255"/>
        <item sd="0" m="1" x="165"/>
        <item sd="0" x="10"/>
        <item sd="0" m="1" x="293"/>
        <item sd="0" x="1"/>
        <item sd="0" m="1" x="260"/>
        <item sd="0" m="1" x="150"/>
        <item sd="0" m="1" x="258"/>
        <item sd="0" m="1" x="204"/>
        <item sd="0" m="1" x="284"/>
        <item sd="0" m="1" x="227"/>
        <item sd="0" m="1" x="200"/>
        <item sd="0" m="1" x="196"/>
        <item sd="0" m="1" x="238"/>
        <item sd="0" m="1" x="270"/>
        <item sd="0" m="1" x="162"/>
        <item sd="0" m="1" x="198"/>
        <item sd="0" m="1" x="163"/>
        <item sd="0" x="3"/>
        <item sd="0" m="1" x="272"/>
        <item sd="0" x="7"/>
        <item sd="0" m="1" x="292"/>
        <item sd="0" x="2"/>
        <item sd="0" m="1" x="159"/>
        <item sd="0" m="1" x="155"/>
        <item sd="0" x="12"/>
        <item sd="0" m="1" x="183"/>
        <item sd="0" x="4"/>
        <item sd="0" m="1" x="188"/>
        <item sd="0" m="1" x="180"/>
        <item sd="0" m="1" x="249"/>
        <item sd="0" m="1" x="152"/>
        <item sd="0" x="116"/>
        <item sd="0" m="1" x="210"/>
        <item sd="0" m="1" x="265"/>
        <item sd="0" m="1" x="168"/>
        <item sd="0" m="1" x="189"/>
        <item sd="0" m="1" x="268"/>
        <item sd="0" x="6"/>
        <item sd="0" m="1" x="173"/>
        <item sd="0" m="1" x="175"/>
        <item sd="0" m="1" x="253"/>
        <item sd="0" m="1" x="248"/>
        <item sd="0" m="1" x="271"/>
        <item sd="0" x="16"/>
        <item sd="0" m="1" x="153"/>
        <item sd="0" m="1" x="177"/>
        <item sd="0" m="1" x="245"/>
        <item sd="0" m="1" x="283"/>
        <item sd="0" m="1" x="192"/>
        <item m="1" x="250"/>
        <item sd="0" m="1" x="291"/>
        <item sd="0" m="1" x="190"/>
        <item sd="0" m="1" x="257"/>
        <item sd="0" m="1" x="195"/>
        <item sd="0" m="1" x="274"/>
        <item sd="0" x="28"/>
        <item sd="0" m="1" x="229"/>
        <item sd="0" m="1" x="282"/>
        <item sd="0" m="1" x="277"/>
        <item sd="0" m="1" x="267"/>
        <item m="1" x="252"/>
        <item sd="0" m="1" x="208"/>
        <item sd="0" m="1" x="278"/>
        <item sd="0" m="1" x="262"/>
        <item m="1" x="203"/>
        <item sd="0" m="1" x="176"/>
        <item sd="0" m="1" x="202"/>
        <item sd="0" x="41"/>
        <item sd="0" m="1" x="219"/>
        <item sd="0" x="20"/>
        <item sd="0" x="36"/>
        <item sd="0" x="32"/>
        <item sd="0" x="31"/>
        <item sd="0" m="1" x="156"/>
        <item m="1" x="297"/>
        <item sd="0" x="51"/>
        <item sd="0" m="1" x="185"/>
        <item sd="0" m="1" x="242"/>
        <item sd="0" m="1" x="199"/>
        <item sd="0" m="1" x="170"/>
        <item sd="0" x="0"/>
        <item sd="0" x="26"/>
        <item sd="0" x="19"/>
        <item sd="0" m="1" x="191"/>
        <item sd="0" x="21"/>
        <item sd="0" m="1" x="206"/>
        <item sd="0" x="63"/>
        <item sd="0" x="64"/>
        <item sd="0" m="1" x="174"/>
        <item m="1" x="286"/>
        <item sd="0" x="70"/>
        <item m="1" x="256"/>
        <item m="1" x="232"/>
        <item m="1" x="166"/>
        <item sd="0" m="1" x="161"/>
        <item sd="0" m="1" x="288"/>
        <item sd="0" m="1" x="279"/>
        <item sd="0" m="1" x="213"/>
        <item m="1" x="247"/>
        <item sd="0" m="1" x="223"/>
        <item sd="0" x="82"/>
        <item sd="0" m="1" x="207"/>
        <item sd="0" m="1" x="275"/>
        <item sd="0" m="1" x="259"/>
        <item sd="0" x="145"/>
        <item sd="0" m="1" x="220"/>
        <item sd="0" m="1" x="243"/>
        <item sd="0" m="1" x="182"/>
        <item sd="0" m="1" x="234"/>
        <item sd="0" x="92"/>
        <item sd="0" m="1" x="164"/>
        <item sd="0" m="1" x="228"/>
        <item sd="0" m="1" x="187"/>
        <item m="1" x="251"/>
        <item sd="0" m="1" x="186"/>
        <item sd="0" x="95"/>
        <item m="1" x="264"/>
        <item m="1" x="201"/>
        <item sd="0" m="1" x="240"/>
        <item sd="0" x="100"/>
        <item sd="0" m="1" x="211"/>
        <item sd="0" x="107"/>
        <item sd="0" x="110"/>
        <item sd="0" x="121"/>
        <item m="1" x="273"/>
        <item sd="0" x="123"/>
        <item sd="0" x="124"/>
        <item sd="0" m="1" x="266"/>
        <item sd="0" m="1" x="289"/>
        <item m="1" x="197"/>
        <item sd="0" x="126"/>
        <item sd="0" m="1" x="157"/>
        <item sd="0" m="1" x="244"/>
        <item sd="0" x="127"/>
        <item sd="0" m="1" x="216"/>
        <item sd="0" m="1" x="276"/>
        <item sd="0" m="1" x="261"/>
        <item sd="0" x="128"/>
        <item sd="0" m="1" x="233"/>
        <item sd="0" x="140"/>
        <item sd="0" m="1" x="241"/>
        <item sd="0" x="149"/>
        <item m="1" x="172"/>
        <item x="146"/>
        <item x="147"/>
        <item x="148"/>
        <item t="default"/>
      </items>
    </pivotField>
    <pivotField axis="axisRow" showAll="0">
      <items count="1205">
        <item sd="0" x="60"/>
        <item sd="0" x="149"/>
        <item sd="0" m="1" x="1044"/>
        <item sd="0" m="1" x="1144"/>
        <item sd="0" m="1" x="1004"/>
        <item sd="0" x="18"/>
        <item sd="0" x="288"/>
        <item sd="0" m="1" x="1186"/>
        <item sd="0" x="146"/>
        <item sd="0" x="179"/>
        <item sd="0" m="1" x="1183"/>
        <item sd="0" x="623"/>
        <item sd="0" x="100"/>
        <item sd="0" m="1" x="988"/>
        <item sd="0" m="1" x="1148"/>
        <item sd="0" x="137"/>
        <item sd="0" m="1" x="1130"/>
        <item sd="0" x="231"/>
        <item sd="0" m="1" x="958"/>
        <item sd="0" m="1" x="1135"/>
        <item sd="0" x="363"/>
        <item sd="0" x="375"/>
        <item sd="0" m="1" x="1018"/>
        <item sd="0" x="208"/>
        <item sd="0" x="159"/>
        <item sd="0" x="258"/>
        <item sd="0" x="282"/>
        <item sd="0" x="144"/>
        <item sd="0" x="191"/>
        <item sd="0" x="217"/>
        <item sd="0" x="322"/>
        <item sd="0" x="256"/>
        <item sd="0" x="189"/>
        <item sd="0" m="1" x="1084"/>
        <item sd="0" x="325"/>
        <item sd="0" m="1" x="1187"/>
        <item sd="0" m="1" x="1082"/>
        <item sd="0" x="630"/>
        <item sd="0" x="223"/>
        <item sd="0" m="1" x="971"/>
        <item sd="0" x="239"/>
        <item sd="0" x="135"/>
        <item sd="0" x="140"/>
        <item sd="0" m="1" x="1159"/>
        <item sd="0" m="1" x="1088"/>
        <item sd="0" x="219"/>
        <item sd="0" x="562"/>
        <item sd="0" x="93"/>
        <item sd="0" m="1" x="1156"/>
        <item sd="0" x="222"/>
        <item sd="0" m="1" x="984"/>
        <item sd="0" x="337"/>
        <item sd="0" x="207"/>
        <item sd="0" x="184"/>
        <item sd="0" x="152"/>
        <item sd="0" m="1" x="1170"/>
        <item sd="0" x="40"/>
        <item sd="0" x="281"/>
        <item sd="0" x="170"/>
        <item sd="0" x="317"/>
        <item sd="0" x="358"/>
        <item sd="0" x="214"/>
        <item sd="0" x="370"/>
        <item sd="0" x="279"/>
        <item sd="0" x="156"/>
        <item sd="0" x="700"/>
        <item sd="0" x="253"/>
        <item sd="0" m="1" x="1145"/>
        <item sd="0" m="1" x="947"/>
        <item sd="0" x="365"/>
        <item sd="0" m="1" x="1003"/>
        <item sd="0" m="1" x="966"/>
        <item sd="0" x="259"/>
        <item sd="0" x="252"/>
        <item sd="0" m="1" x="1087"/>
        <item sd="0" x="12"/>
        <item sd="0" x="352"/>
        <item sd="0" x="218"/>
        <item sd="0" x="224"/>
        <item sd="0" x="63"/>
        <item sd="0" x="8"/>
        <item sd="0" x="102"/>
        <item sd="0" m="1" x="989"/>
        <item sd="0" m="1" x="1189"/>
        <item sd="0" x="319"/>
        <item sd="0" m="1" x="994"/>
        <item sd="0" m="1" x="1200"/>
        <item sd="0" x="386"/>
        <item sd="0" x="31"/>
        <item sd="0" x="55"/>
        <item sd="0" x="227"/>
        <item sd="0" x="356"/>
        <item sd="0" x="161"/>
        <item sd="0" x="153"/>
        <item sd="0" x="860"/>
        <item sd="0" x="133"/>
        <item sd="0" m="1" x="975"/>
        <item sd="0" m="1" x="967"/>
        <item sd="0" m="1" x="1175"/>
        <item sd="0" x="46"/>
        <item sd="0" x="374"/>
        <item sd="0" m="1" x="977"/>
        <item sd="0" x="270"/>
        <item sd="0" m="1" x="1063"/>
        <item sd="0" m="1" x="1024"/>
        <item sd="0" m="1" x="1064"/>
        <item sd="0" m="1" x="1042"/>
        <item sd="0" m="1" x="1155"/>
        <item sd="0" m="1" x="1098"/>
        <item sd="0" m="1" x="1059"/>
        <item sd="0" x="366"/>
        <item sd="0" x="318"/>
        <item sd="0" m="1" x="1017"/>
        <item sd="0" x="273"/>
        <item sd="0" m="1" x="1120"/>
        <item sd="0" x="201"/>
        <item sd="0" m="1" x="1046"/>
        <item sd="0" x="160"/>
        <item sd="0" m="1" x="1152"/>
        <item sd="0" m="1" x="1112"/>
        <item sd="0" m="1" x="1002"/>
        <item sd="0" x="277"/>
        <item sd="0" m="1" x="1106"/>
        <item sd="0" x="225"/>
        <item sd="0" m="1" x="973"/>
        <item sd="0" m="1" x="976"/>
        <item sd="0" m="1" x="987"/>
        <item sd="0" x="292"/>
        <item sd="0" x="15"/>
        <item sd="0" m="1" x="1015"/>
        <item sd="0" m="1" x="1031"/>
        <item sd="0" x="0"/>
        <item sd="0" x="232"/>
        <item sd="0" x="213"/>
        <item sd="0" m="1" x="1154"/>
        <item sd="0" x="316"/>
        <item sd="0" m="1" x="957"/>
        <item sd="0" x="291"/>
        <item sd="0" x="333"/>
        <item sd="0" x="339"/>
        <item sd="0" x="275"/>
        <item sd="0" m="1" x="990"/>
        <item sd="0" x="174"/>
        <item sd="0" x="171"/>
        <item sd="0" x="233"/>
        <item sd="0" x="78"/>
        <item sd="0" m="1" x="1052"/>
        <item sd="0" x="236"/>
        <item sd="0" x="58"/>
        <item sd="0" x="240"/>
        <item sd="0" m="1" x="983"/>
        <item sd="0" x="182"/>
        <item sd="0" x="307"/>
        <item sd="0" x="779"/>
        <item sd="0" x="290"/>
        <item sd="0" m="1" x="1079"/>
        <item sd="0" m="1" x="1141"/>
        <item sd="0" x="132"/>
        <item sd="0" x="56"/>
        <item sd="0" x="126"/>
        <item sd="0" x="22"/>
        <item sd="0" x="187"/>
        <item sd="0" m="1" x="963"/>
        <item sd="0" m="1" x="1173"/>
        <item sd="0" m="1" x="970"/>
        <item sd="0" x="11"/>
        <item sd="0" x="353"/>
        <item sd="0" m="1" x="1058"/>
        <item sd="0" x="124"/>
        <item sd="0" m="1" x="1203"/>
        <item sd="0" x="77"/>
        <item sd="0" m="1" x="1083"/>
        <item sd="0" x="92"/>
        <item sd="0" x="35"/>
        <item sd="0" x="196"/>
        <item sd="0" m="1" x="1182"/>
        <item sd="0" x="1"/>
        <item sd="0" x="180"/>
        <item sd="0" x="285"/>
        <item sd="0" m="1" x="1101"/>
        <item sd="0" x="42"/>
        <item sd="0" m="1" x="1122"/>
        <item sd="0" m="1" x="1091"/>
        <item sd="0" m="1" x="1109"/>
        <item sd="0" m="1" x="1040"/>
        <item sd="0" x="84"/>
        <item sd="0" x="106"/>
        <item sd="0" m="1" x="946"/>
        <item sd="0" x="336"/>
        <item sd="0" m="1" x="1115"/>
        <item sd="0" m="1" x="949"/>
        <item sd="0" m="1" x="941"/>
        <item sd="0" m="1" x="1102"/>
        <item sd="0" m="1" x="979"/>
        <item sd="0" m="1" x="1132"/>
        <item sd="0" m="1" x="980"/>
        <item sd="0" x="16"/>
        <item sd="0" m="1" x="1111"/>
        <item sd="0" m="1" x="1020"/>
        <item sd="0" x="280"/>
        <item sd="0" x="104"/>
        <item sd="0" x="332"/>
        <item sd="0" m="1" x="1045"/>
        <item sd="0" x="348"/>
        <item sd="0" x="23"/>
        <item sd="0" x="362"/>
        <item sd="0" x="237"/>
        <item sd="0" x="91"/>
        <item sd="0" x="13"/>
        <item sd="0" x="175"/>
        <item sd="0" x="343"/>
        <item sd="0" m="1" x="1193"/>
        <item sd="0" m="1" x="1169"/>
        <item sd="0" x="87"/>
        <item sd="0" x="690"/>
        <item sd="0" x="33"/>
        <item sd="0" x="19"/>
        <item sd="0" m="1" x="951"/>
        <item sd="0" x="20"/>
        <item sd="0" m="1" x="964"/>
        <item sd="0" x="96"/>
        <item sd="0" m="1" x="1185"/>
        <item sd="0" m="1" x="1162"/>
        <item sd="0" m="1" x="1033"/>
        <item sd="0" x="120"/>
        <item sd="0" x="131"/>
        <item sd="0" x="119"/>
        <item sd="0" m="1" x="1113"/>
        <item sd="0" m="1" x="1104"/>
        <item sd="0" m="1" x="962"/>
        <item sd="0" m="1" x="1089"/>
        <item sd="0" x="228"/>
        <item sd="0" x="39"/>
        <item sd="0" x="108"/>
        <item sd="0" x="24"/>
        <item sd="0" x="139"/>
        <item sd="0" m="1" x="1172"/>
        <item sd="0" x="17"/>
        <item sd="0" x="248"/>
        <item sd="0" x="48"/>
        <item sd="0" m="1" x="1085"/>
        <item sd="0" m="1" x="1146"/>
        <item sd="0" x="134"/>
        <item sd="0" x="596"/>
        <item sd="0" m="1" x="1055"/>
        <item sd="0" x="69"/>
        <item sd="0" x="34"/>
        <item sd="0" x="206"/>
        <item sd="0" m="1" x="1188"/>
        <item sd="0" m="1" x="1061"/>
        <item sd="0" m="1" x="1080"/>
        <item sd="0" m="1" x="1019"/>
        <item sd="0" x="268"/>
        <item sd="0" x="376"/>
        <item sd="0" x="331"/>
        <item sd="0" m="1" x="1011"/>
        <item sd="0" x="360"/>
        <item sd="0" m="1" x="1164"/>
        <item sd="0" x="89"/>
        <item sd="0" x="355"/>
        <item sd="0" m="1" x="1060"/>
        <item sd="0" x="168"/>
        <item sd="0" m="1" x="952"/>
        <item sd="0" m="1" x="942"/>
        <item sd="0" x="272"/>
        <item sd="0" x="51"/>
        <item sd="0" x="190"/>
        <item sd="0" x="50"/>
        <item sd="0" x="79"/>
        <item sd="0" x="32"/>
        <item sd="0" m="1" x="1149"/>
        <item sd="0" x="188"/>
        <item sd="0" x="110"/>
        <item sd="0" x="935"/>
        <item sd="0" m="1" x="1167"/>
        <item sd="0" m="1" x="1072"/>
        <item sd="0" m="1" x="1013"/>
        <item sd="0" m="1" x="1067"/>
        <item sd="0" m="1" x="1036"/>
        <item sd="0" x="226"/>
        <item sd="0" x="57"/>
        <item sd="0" m="1" x="1070"/>
        <item sd="0" x="340"/>
        <item sd="0" x="265"/>
        <item sd="0" x="294"/>
        <item sd="0" m="1" x="1095"/>
        <item sd="0" x="62"/>
        <item sd="0" x="295"/>
        <item sd="0" x="3"/>
        <item sd="0" x="151"/>
        <item sd="0" x="210"/>
        <item sd="0" x="54"/>
        <item sd="0" m="1" x="1127"/>
        <item sd="0" m="1" x="1110"/>
        <item sd="0" x="323"/>
        <item sd="0" m="1" x="1000"/>
        <item sd="0" x="75"/>
        <item sd="0" m="1" x="1029"/>
        <item sd="0" x="186"/>
        <item sd="0" x="361"/>
        <item sd="0" x="368"/>
        <item sd="0" x="327"/>
        <item sd="0" x="195"/>
        <item sd="0" m="1" x="1100"/>
        <item sd="0" m="1" x="1140"/>
        <item sd="0" x="123"/>
        <item sd="0" m="1" x="1026"/>
        <item sd="0" x="194"/>
        <item sd="0" x="121"/>
        <item sd="0" x="53"/>
        <item sd="0" m="1" x="1157"/>
        <item sd="0" x="278"/>
        <item sd="0" x="212"/>
        <item sd="0" m="1" x="1142"/>
        <item sd="0" m="1" x="1133"/>
        <item sd="0" m="1" x="1201"/>
        <item sd="0" m="1" x="981"/>
        <item sd="0" m="1" x="1195"/>
        <item sd="0" x="117"/>
        <item sd="0" x="111"/>
        <item sd="0" x="81"/>
        <item sd="0" x="7"/>
        <item sd="0" x="235"/>
        <item sd="0" x="287"/>
        <item sd="0" m="1" x="1131"/>
        <item sd="0" m="1" x="1179"/>
        <item sd="0" x="2"/>
        <item sd="0" m="1" x="1194"/>
        <item sd="0" m="1" x="1050"/>
        <item sd="0" x="163"/>
        <item sd="0" m="1" x="1125"/>
        <item sd="0" m="1" x="993"/>
        <item sd="0" m="1" x="1202"/>
        <item sd="0" m="1" x="959"/>
        <item sd="0" m="1" x="956"/>
        <item sd="0" x="130"/>
        <item sd="0" x="88"/>
        <item sd="0" m="1" x="1197"/>
        <item sd="0" x="204"/>
        <item sd="0" x="72"/>
        <item sd="0" x="73"/>
        <item sd="0" x="28"/>
        <item sd="0" x="47"/>
        <item sd="0" x="181"/>
        <item sd="0" x="26"/>
        <item sd="0" x="86"/>
        <item sd="0" x="230"/>
        <item sd="0" m="1" x="1069"/>
        <item sd="0" m="1" x="1049"/>
        <item sd="0" m="1" x="1086"/>
        <item sd="0" x="94"/>
        <item sd="0" x="107"/>
        <item sd="0" x="309"/>
        <item sd="0" x="38"/>
        <item sd="0" x="145"/>
        <item sd="0" x="101"/>
        <item sd="0" x="369"/>
        <item sd="0" x="10"/>
        <item sd="0" x="74"/>
        <item sd="0" x="264"/>
        <item sd="0" m="1" x="1035"/>
        <item sd="0" x="178"/>
        <item sd="0" x="266"/>
        <item sd="0" x="364"/>
        <item sd="0" x="98"/>
        <item sd="0" x="165"/>
        <item sd="0" x="66"/>
        <item sd="0" x="5"/>
        <item sd="0" m="1" x="1007"/>
        <item sd="0" x="359"/>
        <item sd="0" m="1" x="1192"/>
        <item sd="0" x="269"/>
        <item sd="0" x="215"/>
        <item sd="0" x="349"/>
        <item sd="0" x="283"/>
        <item sd="0" x="185"/>
        <item sd="0" x="220"/>
        <item sd="0" m="1" x="1180"/>
        <item sd="0" m="1" x="950"/>
        <item sd="0" x="4"/>
        <item sd="0" x="377"/>
        <item sd="0" x="262"/>
        <item sd="0" x="326"/>
        <item sd="0" x="173"/>
        <item sd="0" x="200"/>
        <item sd="0" m="1" x="991"/>
        <item sd="0" x="345"/>
        <item sd="0" x="30"/>
        <item sd="0" m="1" x="1128"/>
        <item sd="0" x="242"/>
        <item sd="0" m="1" x="1057"/>
        <item sd="0" m="1" x="960"/>
        <item sd="0" x="243"/>
        <item sd="0" m="1" x="1174"/>
        <item sd="0" m="1" x="1177"/>
        <item sd="0" x="303"/>
        <item sd="0" x="37"/>
        <item sd="0" x="357"/>
        <item sd="0" m="1" x="1071"/>
        <item sd="0" m="1" x="1121"/>
        <item sd="0" x="115"/>
        <item sd="0" m="1" x="1171"/>
        <item sd="0" m="1" x="972"/>
        <item sd="0" m="1" x="1038"/>
        <item sd="0" x="128"/>
        <item sd="0" m="1" x="1178"/>
        <item sd="0" m="1" x="1153"/>
        <item sd="0" x="255"/>
        <item sd="0" x="199"/>
        <item sd="0" x="329"/>
        <item sd="0" x="297"/>
        <item sd="0" x="310"/>
        <item sd="0" x="83"/>
        <item sd="0" m="1" x="1076"/>
        <item sd="0" m="1" x="954"/>
        <item sd="0" x="80"/>
        <item sd="0" m="1" x="1025"/>
        <item sd="0" m="1" x="1168"/>
        <item sd="0" x="97"/>
        <item sd="0" x="289"/>
        <item sd="0" m="1" x="1116"/>
        <item sd="0" x="116"/>
        <item sd="0" x="209"/>
        <item sd="0" x="198"/>
        <item sd="0" x="150"/>
        <item sd="0" x="136"/>
        <item sd="0" m="1" x="1056"/>
        <item sd="0" x="109"/>
        <item sd="0" x="524"/>
        <item sd="0" m="1" x="1034"/>
        <item sd="0" m="1" x="1137"/>
        <item sd="0" x="284"/>
        <item sd="0" x="296"/>
        <item sd="0" x="211"/>
        <item sd="0" x="45"/>
        <item sd="0" m="1" x="1117"/>
        <item sd="0" m="1" x="1108"/>
        <item sd="0" x="155"/>
        <item sd="0" m="1" x="1138"/>
        <item sd="0" x="61"/>
        <item sd="0" x="129"/>
        <item sd="0" x="105"/>
        <item sd="0" m="1" x="978"/>
        <item sd="0" x="157"/>
        <item sd="0" x="14"/>
        <item sd="0" x="43"/>
        <item sd="0" x="250"/>
        <item sd="0" x="238"/>
        <item sd="0" x="103"/>
        <item sd="0" x="70"/>
        <item sd="0" x="299"/>
        <item sd="0" x="127"/>
        <item sd="0" m="1" x="944"/>
        <item sd="0" x="193"/>
        <item sd="0" x="147"/>
        <item sd="0" x="933"/>
        <item sd="0" x="99"/>
        <item sd="0" x="344"/>
        <item sd="0" x="221"/>
        <item sd="0" m="1" x="1191"/>
        <item sd="0" m="1" x="1196"/>
        <item sd="0" x="271"/>
        <item sd="0" x="166"/>
        <item sd="0" x="286"/>
        <item sd="0" x="304"/>
        <item sd="0" m="1" x="1065"/>
        <item sd="0" x="138"/>
        <item sd="0" x="41"/>
        <item sd="0" x="229"/>
        <item sd="0" m="1" x="1124"/>
        <item sd="0" x="71"/>
        <item sd="0" x="64"/>
        <item sd="0" m="1" x="1047"/>
        <item sd="0" m="1" x="1041"/>
        <item sd="0" x="540"/>
        <item sd="0" x="44"/>
        <item sd="0" x="114"/>
        <item sd="0" x="52"/>
        <item sd="0" x="142"/>
        <item sd="0" x="82"/>
        <item sd="0" x="245"/>
        <item sd="0" x="314"/>
        <item sd="0" m="1" x="1165"/>
        <item sd="0" m="1" x="1134"/>
        <item sd="0" x="308"/>
        <item sd="0" m="1" x="1093"/>
        <item sd="0" m="1" x="1161"/>
        <item sd="0" x="122"/>
        <item sd="0" x="118"/>
        <item sd="0" m="1" x="1114"/>
        <item sd="0" x="169"/>
        <item sd="0" x="197"/>
        <item sd="0" x="125"/>
        <item sd="0" x="203"/>
        <item sd="0" x="267"/>
        <item sd="0" x="301"/>
        <item sd="0" x="85"/>
        <item sd="0" x="25"/>
        <item sd="0" x="244"/>
        <item sd="0" x="112"/>
        <item sd="0" x="192"/>
        <item sd="0" x="302"/>
        <item sd="0" x="260"/>
        <item sd="0" x="261"/>
        <item sd="0" m="1" x="1099"/>
        <item sd="0" x="328"/>
        <item sd="0" x="350"/>
        <item sd="0" x="254"/>
        <item sd="0" x="320"/>
        <item sd="0" x="241"/>
        <item sd="0" x="158"/>
        <item sd="0" m="1" x="1090"/>
        <item sd="0" m="1" x="1053"/>
        <item sd="0" m="1" x="1147"/>
        <item sd="0" m="1" x="955"/>
        <item sd="0" m="1" x="1009"/>
        <item sd="0" x="143"/>
        <item sd="0" m="1" x="1151"/>
        <item sd="0" x="276"/>
        <item sd="0" x="298"/>
        <item sd="0" x="424"/>
        <item sd="0" x="346"/>
        <item sd="0" x="306"/>
        <item sd="0" m="1" x="1176"/>
        <item sd="0" x="321"/>
        <item sd="0" x="313"/>
        <item sd="0" x="49"/>
        <item sd="0" x="315"/>
        <item sd="0" x="59"/>
        <item sd="0" x="183"/>
        <item sd="0" x="330"/>
        <item sd="0" x="274"/>
        <item sd="0" x="311"/>
        <item sd="0" x="249"/>
        <item sd="0" m="1" x="986"/>
        <item sd="0" m="1" x="1094"/>
        <item sd="0" m="1" x="1198"/>
        <item sd="0" m="1" x="1048"/>
        <item sd="0" m="1" x="1028"/>
        <item sd="0" m="1" x="1027"/>
        <item sd="0" x="90"/>
        <item sd="0" x="202"/>
        <item sd="0" x="67"/>
        <item sd="0" m="1" x="1126"/>
        <item sd="0" x="65"/>
        <item sd="0" x="247"/>
        <item sd="0" m="1" x="998"/>
        <item sd="0" x="216"/>
        <item sd="0" m="1" x="1010"/>
        <item sd="0" x="141"/>
        <item sd="0" x="177"/>
        <item sd="0" x="305"/>
        <item sd="0" m="1" x="1006"/>
        <item sd="0" x="347"/>
        <item sd="0" m="1" x="1190"/>
        <item sd="0" m="1" x="1074"/>
        <item sd="0" x="293"/>
        <item sd="0" x="148"/>
        <item sd="0" x="354"/>
        <item sd="0" m="1" x="1129"/>
        <item sd="0" x="27"/>
        <item sd="0" m="1" x="1139"/>
        <item sd="0" x="68"/>
        <item sd="0" x="6"/>
        <item sd="0" x="263"/>
        <item sd="0" x="154"/>
        <item sd="0" x="164"/>
        <item sd="0" x="172"/>
        <item sd="0" x="205"/>
        <item sd="0" x="351"/>
        <item sd="0" m="1" x="1012"/>
        <item sd="0" x="29"/>
        <item sd="0" m="1" x="1184"/>
        <item sd="0" x="9"/>
        <item sd="0" x="335"/>
        <item sd="0" m="1" x="1078"/>
        <item sd="0" m="1" x="1105"/>
        <item sd="0" m="1" x="1043"/>
        <item sd="0" x="234"/>
        <item sd="0" x="162"/>
        <item sd="0" m="1" x="1014"/>
        <item sd="0" m="1" x="1150"/>
        <item sd="0" m="1" x="1181"/>
        <item sd="0" m="1" x="1166"/>
        <item sd="0" x="300"/>
        <item sd="0" x="167"/>
        <item sd="0" x="76"/>
        <item sd="0" m="1" x="1143"/>
        <item sd="0" x="342"/>
        <item sd="0" x="341"/>
        <item sd="0" m="1" x="974"/>
        <item sd="0" m="1" x="1039"/>
        <item sd="0" m="1" x="1118"/>
        <item sd="0" m="1" x="1097"/>
        <item sd="0" x="113"/>
        <item sd="0" x="251"/>
        <item sd="0" x="176"/>
        <item sd="0" x="372"/>
        <item sd="0" x="246"/>
        <item sd="0" m="1" x="961"/>
        <item sd="0" x="257"/>
        <item sd="0" x="95"/>
        <item sd="0" x="338"/>
        <item sd="0" x="36"/>
        <item sd="0" m="1" x="1016"/>
        <item sd="0" x="21"/>
        <item sd="0" x="378"/>
        <item sd="0" x="381"/>
        <item sd="0" x="382"/>
        <item sd="0" x="379"/>
        <item sd="0" x="383"/>
        <item sd="0" x="380"/>
        <item sd="0" x="384"/>
        <item sd="0" x="385"/>
        <item sd="0" x="387"/>
        <item sd="0" m="1" x="995"/>
        <item sd="0" m="1" x="1037"/>
        <item sd="0" x="388"/>
        <item sd="0" m="1" x="965"/>
        <item sd="0" x="389"/>
        <item sd="0" x="390"/>
        <item sd="0" x="391"/>
        <item sd="0" x="392"/>
        <item sd="0" x="393"/>
        <item sd="0" x="394"/>
        <item sd="0" x="396"/>
        <item sd="0" x="397"/>
        <item sd="0" x="398"/>
        <item sd="0" x="395"/>
        <item sd="0" x="373"/>
        <item sd="0" x="399"/>
        <item sd="0" m="1" x="982"/>
        <item sd="0" x="401"/>
        <item sd="0" x="400"/>
        <item sd="0" m="1" x="1001"/>
        <item sd="0" x="402"/>
        <item sd="0" x="403"/>
        <item sd="0" x="404"/>
        <item sd="0" x="405"/>
        <item sd="0" x="406"/>
        <item sd="0" x="411"/>
        <item sd="0" m="1" x="106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7"/>
        <item sd="0" x="465"/>
        <item sd="0" x="469"/>
        <item sd="0" x="466"/>
        <item sd="0" x="467"/>
        <item sd="0" m="1" x="992"/>
        <item sd="0" x="470"/>
        <item sd="0" m="1" x="969"/>
        <item sd="0" x="472"/>
        <item sd="0" x="475"/>
        <item sd="0" x="476"/>
        <item sd="0" x="371"/>
        <item sd="0" m="1" x="1077"/>
        <item sd="0" x="477"/>
        <item sd="0" x="478"/>
        <item sd="0" x="479"/>
        <item sd="0" x="473"/>
        <item sd="0" x="474"/>
        <item sd="0" x="480"/>
        <item sd="0" x="481"/>
        <item sd="0" x="482"/>
        <item sd="0" x="483"/>
        <item sd="0" x="484"/>
        <item sd="0" x="485"/>
        <item sd="0" x="486"/>
        <item sd="0" m="1" x="1136"/>
        <item sd="0" x="488"/>
        <item sd="0" x="489"/>
        <item sd="0" x="487"/>
        <item sd="0" x="492"/>
        <item sd="0" x="491"/>
        <item sd="0" x="312"/>
        <item sd="0" m="1" x="1119"/>
        <item sd="0" x="490"/>
        <item sd="0" x="493"/>
        <item sd="0" x="471"/>
        <item sd="0" x="494"/>
        <item sd="0" x="495"/>
        <item sd="0" m="1" x="1103"/>
        <item sd="0" x="497"/>
        <item sd="0" x="499"/>
        <item sd="0" x="500"/>
        <item sd="0" x="503"/>
        <item sd="0" m="1" x="1075"/>
        <item sd="0" m="1" x="100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8"/>
        <item sd="0" x="528"/>
        <item sd="0" x="531"/>
        <item sd="0" x="532"/>
        <item sd="0" x="529"/>
        <item sd="0" x="530"/>
        <item sd="0" x="533"/>
        <item sd="0" x="534"/>
        <item sd="0" x="538"/>
        <item sd="0" x="535"/>
        <item sd="0" x="536"/>
        <item sd="0" x="537"/>
        <item sd="0" x="542"/>
        <item sd="0" x="539"/>
        <item sd="0" x="541"/>
        <item sd="0" m="1" x="999"/>
        <item sd="0" x="547"/>
        <item sd="0" x="548"/>
        <item sd="0" x="549"/>
        <item sd="0" x="543"/>
        <item sd="0" x="544"/>
        <item sd="0" x="546"/>
        <item sd="0" x="550"/>
        <item sd="0" x="551"/>
        <item sd="0" x="545"/>
        <item sd="0" x="556"/>
        <item sd="0" x="557"/>
        <item sd="0" x="558"/>
        <item sd="0" x="559"/>
        <item sd="0" x="552"/>
        <item sd="0" x="553"/>
        <item sd="0" x="554"/>
        <item sd="0" m="1" x="1051"/>
        <item sd="0" x="431"/>
        <item sd="0" x="555"/>
        <item sd="0" x="560"/>
        <item sd="0" x="561"/>
        <item sd="0" x="563"/>
        <item sd="0" x="564"/>
        <item sd="0" x="565"/>
        <item sd="0" m="1" x="1158"/>
        <item sd="0" x="566"/>
        <item sd="0" x="567"/>
        <item sd="0" x="571"/>
        <item sd="0" x="572"/>
        <item sd="0" x="573"/>
        <item sd="0" x="574"/>
        <item sd="0" x="568"/>
        <item sd="0" x="569"/>
        <item sd="0" x="575"/>
        <item sd="0" x="570"/>
        <item sd="0" m="1" x="107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2"/>
        <item sd="0" x="635"/>
        <item sd="0" x="636"/>
        <item sd="0" x="641"/>
        <item sd="0" m="1" x="95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23"/>
        <item x="683"/>
        <item x="687"/>
        <item x="689"/>
        <item x="685"/>
        <item x="686"/>
        <item x="691"/>
        <item x="684"/>
        <item x="692"/>
        <item x="693"/>
        <item x="694"/>
        <item x="695"/>
        <item x="696"/>
        <item m="1" x="997"/>
        <item x="698"/>
        <item x="699"/>
        <item x="697"/>
        <item x="701"/>
        <item x="702"/>
        <item m="1" x="1123"/>
        <item x="705"/>
        <item m="1" x="996"/>
        <item x="703"/>
        <item x="704"/>
        <item x="706"/>
        <item x="707"/>
        <item x="720"/>
        <item x="708"/>
        <item x="709"/>
        <item x="710"/>
        <item x="711"/>
        <item x="712"/>
        <item x="713"/>
        <item x="714"/>
        <item x="715"/>
        <item x="716"/>
        <item x="717"/>
        <item x="718"/>
        <item x="719"/>
        <item x="721"/>
        <item x="722"/>
        <item x="723"/>
        <item x="724"/>
        <item x="725"/>
        <item m="1" x="1022"/>
        <item x="726"/>
        <item x="727"/>
        <item x="730"/>
        <item m="1" x="1199"/>
        <item m="1" x="985"/>
        <item x="638"/>
        <item x="728"/>
        <item x="334"/>
        <item x="729"/>
        <item x="731"/>
        <item x="732"/>
        <item x="733"/>
        <item x="734"/>
        <item x="735"/>
        <item x="736"/>
        <item x="737"/>
        <item x="788"/>
        <item x="738"/>
        <item x="739"/>
        <item x="740"/>
        <item x="741"/>
        <item x="742"/>
        <item x="743"/>
        <item x="744"/>
        <item x="745"/>
        <item x="746"/>
        <item x="747"/>
        <item x="748"/>
        <item m="1" x="1005"/>
        <item x="749"/>
        <item x="756"/>
        <item x="750"/>
        <item x="751"/>
        <item m="1" x="1081"/>
        <item x="752"/>
        <item x="753"/>
        <item x="754"/>
        <item x="755"/>
        <item x="757"/>
        <item x="594"/>
        <item x="758"/>
        <item x="759"/>
        <item x="760"/>
        <item x="761"/>
        <item x="762"/>
        <item x="763"/>
        <item x="764"/>
        <item x="765"/>
        <item x="766"/>
        <item x="767"/>
        <item x="768"/>
        <item m="1" x="1066"/>
        <item x="922"/>
        <item x="770"/>
        <item x="771"/>
        <item x="772"/>
        <item x="769"/>
        <item x="773"/>
        <item m="1" x="968"/>
        <item x="774"/>
        <item x="775"/>
        <item x="776"/>
        <item x="777"/>
        <item x="778"/>
        <item m="1" x="1054"/>
        <item x="780"/>
        <item x="781"/>
        <item x="782"/>
        <item x="783"/>
        <item x="527"/>
        <item m="1" x="1163"/>
        <item x="784"/>
        <item x="785"/>
        <item x="786"/>
        <item x="787"/>
        <item x="789"/>
        <item x="790"/>
        <item x="791"/>
        <item x="792"/>
        <item x="793"/>
        <item x="794"/>
        <item x="795"/>
        <item x="796"/>
        <item x="802"/>
        <item x="797"/>
        <item x="798"/>
        <item x="799"/>
        <item x="800"/>
        <item x="801"/>
        <item x="803"/>
        <item x="804"/>
        <item x="805"/>
        <item x="806"/>
        <item x="812"/>
        <item x="807"/>
        <item x="808"/>
        <item m="1" x="1096"/>
        <item x="809"/>
        <item x="810"/>
        <item m="1" x="1160"/>
        <item x="811"/>
        <item m="1" x="1030"/>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2"/>
        <item x="872"/>
        <item x="873"/>
        <item x="874"/>
        <item x="876"/>
        <item x="877"/>
        <item x="813"/>
        <item m="1" x="943"/>
        <item x="879"/>
        <item m="1" x="1032"/>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45"/>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t="default" sd="0"/>
      </items>
    </pivotField>
    <pivotField axis="axisPage" showAll="0">
      <items count="1201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004"/>
        <item x="12006"/>
        <item x="11935"/>
        <item x="11936"/>
        <item x="11937"/>
        <item x="11938"/>
        <item x="11939"/>
        <item x="11940"/>
        <item x="11941"/>
        <item x="11942"/>
        <item x="11943"/>
        <item x="11944"/>
        <item x="11947"/>
        <item x="11948"/>
        <item x="11949"/>
        <item x="11950"/>
        <item x="11951"/>
        <item x="11952"/>
        <item x="11953"/>
        <item x="11954"/>
        <item x="11959"/>
        <item x="12001"/>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005"/>
        <item x="11977"/>
        <item x="11978"/>
        <item x="11979"/>
        <item x="11980"/>
        <item x="11981"/>
        <item x="11982"/>
        <item x="11983"/>
        <item x="11984"/>
        <item x="11985"/>
        <item x="11987"/>
        <item x="12002"/>
        <item x="12003"/>
        <item x="12007"/>
        <item x="12008"/>
        <item x="11986"/>
        <item x="11988"/>
        <item x="11989"/>
        <item x="11990"/>
        <item x="11991"/>
        <item x="11992"/>
        <item x="11993"/>
        <item x="11994"/>
        <item x="11995"/>
        <item x="11996"/>
        <item x="11997"/>
        <item x="11998"/>
        <item x="11999"/>
        <item x="12000"/>
        <item t="default"/>
      </items>
    </pivotField>
    <pivotField dataField="1" showAll="0"/>
    <pivotField dataField="1" showAll="0"/>
    <pivotField dataField="1" showAll="0"/>
    <pivotField axis="axisPage" multipleItemSelectionAllowed="1" showAll="0">
      <items count="285">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3"/>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4">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5"/>
    </i>
    <i>
      <x v="297"/>
    </i>
    <i r="1">
      <x v="311"/>
    </i>
    <i>
      <x v="298"/>
    </i>
    <i r="1">
      <x v="311"/>
    </i>
    <i>
      <x v="299"/>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5">
      <pivotArea type="all" dataOnly="0" outline="0" fieldPosition="0"/>
    </format>
    <format dxfId="754">
      <pivotArea outline="0" collapsedLevelsAreSubtotals="1" fieldPosition="0"/>
    </format>
    <format dxfId="753">
      <pivotArea dataOnly="0" labelOnly="1" outline="0" fieldPosition="0">
        <references count="1">
          <reference field="4294967294" count="3">
            <x v="0"/>
            <x v="1"/>
            <x v="2"/>
          </reference>
        </references>
      </pivotArea>
    </format>
    <format dxfId="752">
      <pivotArea type="all" dataOnly="0" outline="0" fieldPosition="0"/>
    </format>
    <format dxfId="751">
      <pivotArea outline="0" collapsedLevelsAreSubtotals="1" fieldPosition="0"/>
    </format>
    <format dxfId="750">
      <pivotArea field="1" type="button" dataOnly="0" labelOnly="1" outline="0" axis="axisRow" fieldPosition="0"/>
    </format>
    <format dxfId="74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7">
      <pivotArea dataOnly="0" labelOnly="1" grandRow="1" outline="0" fieldPosition="0"/>
    </format>
    <format dxfId="746">
      <pivotArea dataOnly="0" labelOnly="1" outline="0" fieldPosition="0">
        <references count="1">
          <reference field="4294967294" count="3">
            <x v="0"/>
            <x v="1"/>
            <x v="2"/>
          </reference>
        </references>
      </pivotArea>
    </format>
    <format dxfId="745">
      <pivotArea type="all" dataOnly="0" outline="0" fieldPosition="0"/>
    </format>
    <format dxfId="744">
      <pivotArea outline="0" collapsedLevelsAreSubtotals="1" fieldPosition="0"/>
    </format>
    <format dxfId="743">
      <pivotArea field="1" type="button" dataOnly="0" labelOnly="1" outline="0" axis="axisRow" fieldPosition="0"/>
    </format>
    <format dxfId="742">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1">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0">
      <pivotArea dataOnly="0" labelOnly="1" grandRow="1" outline="0" fieldPosition="0"/>
    </format>
    <format dxfId="739">
      <pivotArea dataOnly="0" labelOnly="1" outline="0" fieldPosition="0">
        <references count="1">
          <reference field="4294967294" count="3">
            <x v="0"/>
            <x v="1"/>
            <x v="2"/>
          </reference>
        </references>
      </pivotArea>
    </format>
    <format dxfId="738">
      <pivotArea type="all" dataOnly="0" outline="0" fieldPosition="0"/>
    </format>
    <format dxfId="737">
      <pivotArea field="1" type="button" dataOnly="0" labelOnly="1" outline="0" axis="axisRow" fieldPosition="0"/>
    </format>
    <format dxfId="73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4">
      <pivotArea dataOnly="0" labelOnly="1" outline="0" fieldPosition="0">
        <references count="1">
          <reference field="4294967294" count="3">
            <x v="0"/>
            <x v="1"/>
            <x v="2"/>
          </reference>
        </references>
      </pivotArea>
    </format>
    <format dxfId="733">
      <pivotArea dataOnly="0" labelOnly="1" outline="0" fieldPosition="0">
        <references count="1">
          <reference field="4294967294" count="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2">
            <x v="0"/>
            <x v="1"/>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field="1" type="button" dataOnly="0" labelOnly="1" outline="0" axis="axisRow" fieldPosition="0"/>
    </format>
    <format dxfId="726">
      <pivotArea field="1" type="button" dataOnly="0" labelOnly="1" outline="0" axis="axisRow" fieldPosition="0"/>
    </format>
    <format dxfId="725">
      <pivotArea field="1" type="button" dataOnly="0" labelOnly="1" outline="0" axis="axisRow" fieldPosition="0"/>
    </format>
    <format dxfId="724">
      <pivotArea dataOnly="0" labelOnly="1" outline="0" fieldPosition="0">
        <references count="1">
          <reference field="4294967294" count="3">
            <x v="0"/>
            <x v="1"/>
            <x v="2"/>
          </reference>
        </references>
      </pivotArea>
    </format>
    <format dxfId="723">
      <pivotArea field="1" type="button" dataOnly="0" labelOnly="1" outline="0" axis="axisRow" fieldPosition="0"/>
    </format>
    <format dxfId="722">
      <pivotArea dataOnly="0" labelOnly="1" outline="0" fieldPosition="0">
        <references count="1">
          <reference field="4294967294" count="3">
            <x v="0"/>
            <x v="1"/>
            <x v="2"/>
          </reference>
        </references>
      </pivotArea>
    </format>
    <format dxfId="72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2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9">
      <pivotArea collapsedLevelsAreSubtotals="1" fieldPosition="0">
        <references count="1">
          <reference field="1" count="1">
            <x v="143"/>
          </reference>
        </references>
      </pivotArea>
    </format>
    <format dxfId="718">
      <pivotArea collapsedLevelsAreSubtotals="1" fieldPosition="0">
        <references count="1">
          <reference field="1" count="1">
            <x v="144"/>
          </reference>
        </references>
      </pivotArea>
    </format>
    <format dxfId="717">
      <pivotArea collapsedLevelsAreSubtotals="1" fieldPosition="0">
        <references count="1">
          <reference field="1" count="1">
            <x v="145"/>
          </reference>
        </references>
      </pivotArea>
    </format>
    <format dxfId="716">
      <pivotArea collapsedLevelsAreSubtotals="1" fieldPosition="0">
        <references count="1">
          <reference field="1" count="1">
            <x v="146"/>
          </reference>
        </references>
      </pivotArea>
    </format>
    <format dxfId="715">
      <pivotArea collapsedLevelsAreSubtotals="1" fieldPosition="0">
        <references count="1">
          <reference field="1" count="1">
            <x v="147"/>
          </reference>
        </references>
      </pivotArea>
    </format>
    <format dxfId="714">
      <pivotArea collapsedLevelsAreSubtotals="1" fieldPosition="0">
        <references count="1">
          <reference field="1" count="1">
            <x v="148"/>
          </reference>
        </references>
      </pivotArea>
    </format>
    <format dxfId="713">
      <pivotArea collapsedLevelsAreSubtotals="1" fieldPosition="0">
        <references count="1">
          <reference field="1" count="1">
            <x v="149"/>
          </reference>
        </references>
      </pivotArea>
    </format>
    <format dxfId="712">
      <pivotArea collapsedLevelsAreSubtotals="1" fieldPosition="0">
        <references count="1">
          <reference field="1" count="1">
            <x v="150"/>
          </reference>
        </references>
      </pivotArea>
    </format>
    <format dxfId="711">
      <pivotArea collapsedLevelsAreSubtotals="1" fieldPosition="0">
        <references count="1">
          <reference field="1" count="1">
            <x v="151"/>
          </reference>
        </references>
      </pivotArea>
    </format>
    <format dxfId="710">
      <pivotArea collapsedLevelsAreSubtotals="1" fieldPosition="0">
        <references count="1">
          <reference field="1" count="1">
            <x v="152"/>
          </reference>
        </references>
      </pivotArea>
    </format>
    <format dxfId="709">
      <pivotArea collapsedLevelsAreSubtotals="1" fieldPosition="0">
        <references count="1">
          <reference field="1" count="1">
            <x v="153"/>
          </reference>
        </references>
      </pivotArea>
    </format>
    <format dxfId="708">
      <pivotArea collapsedLevelsAreSubtotals="1" fieldPosition="0">
        <references count="1">
          <reference field="1" count="1">
            <x v="154"/>
          </reference>
        </references>
      </pivotArea>
    </format>
    <format dxfId="707">
      <pivotArea collapsedLevelsAreSubtotals="1" fieldPosition="0">
        <references count="1">
          <reference field="1" count="1">
            <x v="155"/>
          </reference>
        </references>
      </pivotArea>
    </format>
    <format dxfId="706">
      <pivotArea collapsedLevelsAreSubtotals="1" fieldPosition="0">
        <references count="1">
          <reference field="1" count="1">
            <x v="156"/>
          </reference>
        </references>
      </pivotArea>
    </format>
    <format dxfId="705">
      <pivotArea collapsedLevelsAreSubtotals="1" fieldPosition="0">
        <references count="1">
          <reference field="1" count="1">
            <x v="157"/>
          </reference>
        </references>
      </pivotArea>
    </format>
    <format dxfId="704">
      <pivotArea collapsedLevelsAreSubtotals="1" fieldPosition="0">
        <references count="1">
          <reference field="1" count="1">
            <x v="158"/>
          </reference>
        </references>
      </pivotArea>
    </format>
    <format dxfId="703">
      <pivotArea collapsedLevelsAreSubtotals="1" fieldPosition="0">
        <references count="1">
          <reference field="1" count="1">
            <x v="159"/>
          </reference>
        </references>
      </pivotArea>
    </format>
    <format dxfId="702">
      <pivotArea collapsedLevelsAreSubtotals="1" fieldPosition="0">
        <references count="1">
          <reference field="1" count="1">
            <x v="160"/>
          </reference>
        </references>
      </pivotArea>
    </format>
    <format dxfId="701">
      <pivotArea collapsedLevelsAreSubtotals="1" fieldPosition="0">
        <references count="1">
          <reference field="1" count="1">
            <x v="161"/>
          </reference>
        </references>
      </pivotArea>
    </format>
    <format dxfId="700">
      <pivotArea collapsedLevelsAreSubtotals="1" fieldPosition="0">
        <references count="1">
          <reference field="1" count="1">
            <x v="162"/>
          </reference>
        </references>
      </pivotArea>
    </format>
    <format dxfId="699">
      <pivotArea collapsedLevelsAreSubtotals="1" fieldPosition="0">
        <references count="1">
          <reference field="1" count="1">
            <x v="163"/>
          </reference>
        </references>
      </pivotArea>
    </format>
    <format dxfId="698">
      <pivotArea collapsedLevelsAreSubtotals="1" fieldPosition="0">
        <references count="1">
          <reference field="1" count="1">
            <x v="164"/>
          </reference>
        </references>
      </pivotArea>
    </format>
    <format dxfId="697">
      <pivotArea collapsedLevelsAreSubtotals="1" fieldPosition="0">
        <references count="1">
          <reference field="1" count="1">
            <x v="165"/>
          </reference>
        </references>
      </pivotArea>
    </format>
    <format dxfId="696">
      <pivotArea collapsedLevelsAreSubtotals="1" fieldPosition="0">
        <references count="1">
          <reference field="1" count="1">
            <x v="166"/>
          </reference>
        </references>
      </pivotArea>
    </format>
    <format dxfId="695">
      <pivotArea collapsedLevelsAreSubtotals="1" fieldPosition="0">
        <references count="1">
          <reference field="1" count="1">
            <x v="167"/>
          </reference>
        </references>
      </pivotArea>
    </format>
    <format dxfId="694">
      <pivotArea collapsedLevelsAreSubtotals="1" fieldPosition="0">
        <references count="1">
          <reference field="1" count="1">
            <x v="168"/>
          </reference>
        </references>
      </pivotArea>
    </format>
    <format dxfId="693">
      <pivotArea collapsedLevelsAreSubtotals="1" fieldPosition="0">
        <references count="1">
          <reference field="1" count="1">
            <x v="169"/>
          </reference>
        </references>
      </pivotArea>
    </format>
    <format dxfId="692">
      <pivotArea collapsedLevelsAreSubtotals="1" fieldPosition="0">
        <references count="1">
          <reference field="1" count="1">
            <x v="170"/>
          </reference>
        </references>
      </pivotArea>
    </format>
    <format dxfId="691">
      <pivotArea collapsedLevelsAreSubtotals="1" fieldPosition="0">
        <references count="1">
          <reference field="1" count="1">
            <x v="171"/>
          </reference>
        </references>
      </pivotArea>
    </format>
    <format dxfId="690">
      <pivotArea collapsedLevelsAreSubtotals="1" fieldPosition="0">
        <references count="1">
          <reference field="1" count="1">
            <x v="172"/>
          </reference>
        </references>
      </pivotArea>
    </format>
    <format dxfId="689">
      <pivotArea collapsedLevelsAreSubtotals="1" fieldPosition="0">
        <references count="1">
          <reference field="1" count="1">
            <x v="173"/>
          </reference>
        </references>
      </pivotArea>
    </format>
    <format dxfId="688">
      <pivotArea collapsedLevelsAreSubtotals="1" fieldPosition="0">
        <references count="1">
          <reference field="1" count="1">
            <x v="174"/>
          </reference>
        </references>
      </pivotArea>
    </format>
    <format dxfId="687">
      <pivotArea collapsedLevelsAreSubtotals="1" fieldPosition="0">
        <references count="1">
          <reference field="1" count="1">
            <x v="175"/>
          </reference>
        </references>
      </pivotArea>
    </format>
    <format dxfId="686">
      <pivotArea collapsedLevelsAreSubtotals="1" fieldPosition="0">
        <references count="1">
          <reference field="1" count="1">
            <x v="176"/>
          </reference>
        </references>
      </pivotArea>
    </format>
    <format dxfId="685">
      <pivotArea collapsedLevelsAreSubtotals="1" fieldPosition="0">
        <references count="1">
          <reference field="1" count="1">
            <x v="177"/>
          </reference>
        </references>
      </pivotArea>
    </format>
    <format dxfId="684">
      <pivotArea collapsedLevelsAreSubtotals="1" fieldPosition="0">
        <references count="1">
          <reference field="1" count="1">
            <x v="178"/>
          </reference>
        </references>
      </pivotArea>
    </format>
    <format dxfId="683">
      <pivotArea collapsedLevelsAreSubtotals="1" fieldPosition="0">
        <references count="1">
          <reference field="1" count="1">
            <x v="88"/>
          </reference>
        </references>
      </pivotArea>
    </format>
    <format dxfId="682">
      <pivotArea collapsedLevelsAreSubtotals="1" fieldPosition="0">
        <references count="1">
          <reference field="1" count="1">
            <x v="179"/>
          </reference>
        </references>
      </pivotArea>
    </format>
    <format dxfId="681">
      <pivotArea collapsedLevelsAreSubtotals="1" fieldPosition="0">
        <references count="1">
          <reference field="1" count="1">
            <x v="180"/>
          </reference>
        </references>
      </pivotArea>
    </format>
    <format dxfId="680">
      <pivotArea collapsedLevelsAreSubtotals="1" fieldPosition="0">
        <references count="1">
          <reference field="1" count="1">
            <x v="181"/>
          </reference>
        </references>
      </pivotArea>
    </format>
    <format dxfId="679">
      <pivotArea collapsedLevelsAreSubtotals="1" fieldPosition="0">
        <references count="1">
          <reference field="1" count="1">
            <x v="182"/>
          </reference>
        </references>
      </pivotArea>
    </format>
    <format dxfId="678">
      <pivotArea collapsedLevelsAreSubtotals="1" fieldPosition="0">
        <references count="1">
          <reference field="1" count="1">
            <x v="183"/>
          </reference>
        </references>
      </pivotArea>
    </format>
    <format dxfId="677">
      <pivotArea collapsedLevelsAreSubtotals="1" fieldPosition="0">
        <references count="1">
          <reference field="1" count="1">
            <x v="184"/>
          </reference>
        </references>
      </pivotArea>
    </format>
    <format dxfId="676">
      <pivotArea collapsedLevelsAreSubtotals="1" fieldPosition="0">
        <references count="1">
          <reference field="1" count="1">
            <x v="185"/>
          </reference>
        </references>
      </pivotArea>
    </format>
    <format dxfId="675">
      <pivotArea collapsedLevelsAreSubtotals="1" fieldPosition="0">
        <references count="1">
          <reference field="1" count="1">
            <x v="186"/>
          </reference>
        </references>
      </pivotArea>
    </format>
    <format dxfId="674">
      <pivotArea collapsedLevelsAreSubtotals="1" fieldPosition="0">
        <references count="1">
          <reference field="1" count="1">
            <x v="187"/>
          </reference>
        </references>
      </pivotArea>
    </format>
    <format dxfId="673">
      <pivotArea collapsedLevelsAreSubtotals="1" fieldPosition="0">
        <references count="1">
          <reference field="1" count="1">
            <x v="188"/>
          </reference>
        </references>
      </pivotArea>
    </format>
    <format dxfId="672">
      <pivotArea collapsedLevelsAreSubtotals="1" fieldPosition="0">
        <references count="1">
          <reference field="1" count="1">
            <x v="189"/>
          </reference>
        </references>
      </pivotArea>
    </format>
    <format dxfId="671">
      <pivotArea collapsedLevelsAreSubtotals="1" fieldPosition="0">
        <references count="1">
          <reference field="1" count="1">
            <x v="190"/>
          </reference>
        </references>
      </pivotArea>
    </format>
    <format dxfId="670">
      <pivotArea collapsedLevelsAreSubtotals="1" fieldPosition="0">
        <references count="1">
          <reference field="1" count="1">
            <x v="191"/>
          </reference>
        </references>
      </pivotArea>
    </format>
    <format dxfId="669">
      <pivotArea collapsedLevelsAreSubtotals="1" fieldPosition="0">
        <references count="1">
          <reference field="1" count="1">
            <x v="192"/>
          </reference>
        </references>
      </pivotArea>
    </format>
    <format dxfId="668">
      <pivotArea collapsedLevelsAreSubtotals="1" fieldPosition="0">
        <references count="1">
          <reference field="1" count="1">
            <x v="193"/>
          </reference>
        </references>
      </pivotArea>
    </format>
    <format dxfId="667">
      <pivotArea collapsedLevelsAreSubtotals="1" fieldPosition="0">
        <references count="1">
          <reference field="1" count="1">
            <x v="194"/>
          </reference>
        </references>
      </pivotArea>
    </format>
    <format dxfId="666">
      <pivotArea collapsedLevelsAreSubtotals="1" fieldPosition="0">
        <references count="1">
          <reference field="1" count="1">
            <x v="195"/>
          </reference>
        </references>
      </pivotArea>
    </format>
    <format dxfId="665">
      <pivotArea collapsedLevelsAreSubtotals="1" fieldPosition="0">
        <references count="1">
          <reference field="1" count="1">
            <x v="196"/>
          </reference>
        </references>
      </pivotArea>
    </format>
    <format dxfId="664">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3">
      <pivotArea dataOnly="0" labelOnly="1" fieldPosition="0">
        <references count="1">
          <reference field="1" count="5">
            <x v="192"/>
            <x v="193"/>
            <x v="194"/>
            <x v="195"/>
            <x v="196"/>
          </reference>
        </references>
      </pivotArea>
    </format>
    <format dxfId="662">
      <pivotArea dataOnly="0" labelOnly="1" outline="0" fieldPosition="0">
        <references count="1">
          <reference field="4294967294" count="1">
            <x v="2"/>
          </reference>
        </references>
      </pivotArea>
    </format>
    <format dxfId="661">
      <pivotArea dataOnly="0" labelOnly="1" fieldPosition="0">
        <references count="1">
          <reference field="1" count="7">
            <x v="197"/>
            <x v="198"/>
            <x v="199"/>
            <x v="200"/>
            <x v="201"/>
            <x v="202"/>
            <x v="204"/>
          </reference>
        </references>
      </pivotArea>
    </format>
    <format dxfId="660">
      <pivotArea dataOnly="0" labelOnly="1" fieldPosition="0">
        <references count="1">
          <reference field="1" count="7">
            <x v="197"/>
            <x v="198"/>
            <x v="199"/>
            <x v="200"/>
            <x v="201"/>
            <x v="202"/>
            <x v="204"/>
          </reference>
        </references>
      </pivotArea>
    </format>
    <format dxfId="659">
      <pivotArea collapsedLevelsAreSubtotals="1" fieldPosition="0">
        <references count="1">
          <reference field="1" count="1">
            <x v="197"/>
          </reference>
        </references>
      </pivotArea>
    </format>
    <format dxfId="658">
      <pivotArea collapsedLevelsAreSubtotals="1" fieldPosition="0">
        <references count="1">
          <reference field="1" count="1">
            <x v="198"/>
          </reference>
        </references>
      </pivotArea>
    </format>
    <format dxfId="657">
      <pivotArea collapsedLevelsAreSubtotals="1" fieldPosition="0">
        <references count="1">
          <reference field="1" count="1">
            <x v="199"/>
          </reference>
        </references>
      </pivotArea>
    </format>
    <format dxfId="656">
      <pivotArea collapsedLevelsAreSubtotals="1" fieldPosition="0">
        <references count="1">
          <reference field="1" count="1">
            <x v="200"/>
          </reference>
        </references>
      </pivotArea>
    </format>
    <format dxfId="655">
      <pivotArea collapsedLevelsAreSubtotals="1" fieldPosition="0">
        <references count="1">
          <reference field="1" count="1">
            <x v="201"/>
          </reference>
        </references>
      </pivotArea>
    </format>
    <format dxfId="654">
      <pivotArea collapsedLevelsAreSubtotals="1" fieldPosition="0">
        <references count="1">
          <reference field="1" count="1">
            <x v="202"/>
          </reference>
        </references>
      </pivotArea>
    </format>
    <format dxfId="653">
      <pivotArea collapsedLevelsAreSubtotals="1" fieldPosition="0">
        <references count="1">
          <reference field="1" count="1">
            <x v="204"/>
          </reference>
        </references>
      </pivotArea>
    </format>
    <format dxfId="652">
      <pivotArea dataOnly="0" labelOnly="1" fieldPosition="0">
        <references count="1">
          <reference field="1" count="4">
            <x v="98"/>
            <x v="99"/>
            <x v="234"/>
            <x v="236"/>
          </reference>
        </references>
      </pivotArea>
    </format>
    <format dxfId="651">
      <pivotArea dataOnly="0" labelOnly="1" fieldPosition="0">
        <references count="1">
          <reference field="1" count="3">
            <x v="95"/>
            <x v="96"/>
            <x v="110"/>
          </reference>
        </references>
      </pivotArea>
    </format>
    <format dxfId="650">
      <pivotArea collapsedLevelsAreSubtotals="1" fieldPosition="0">
        <references count="1">
          <reference field="1" count="1">
            <x v="232"/>
          </reference>
        </references>
      </pivotArea>
    </format>
    <format dxfId="649">
      <pivotArea collapsedLevelsAreSubtotals="1" fieldPosition="0">
        <references count="1">
          <reference field="1" count="1">
            <x v="231"/>
          </reference>
        </references>
      </pivotArea>
    </format>
    <format dxfId="648">
      <pivotArea collapsedLevelsAreSubtotals="1" fieldPosition="0">
        <references count="1">
          <reference field="1" count="1">
            <x v="115"/>
          </reference>
        </references>
      </pivotArea>
    </format>
    <format dxfId="647">
      <pivotArea collapsedLevelsAreSubtotals="1" fieldPosition="0">
        <references count="1">
          <reference field="1" count="1">
            <x v="116"/>
          </reference>
        </references>
      </pivotArea>
    </format>
    <format dxfId="646">
      <pivotArea collapsedLevelsAreSubtotals="1" fieldPosition="0">
        <references count="1">
          <reference field="1" count="1">
            <x v="117"/>
          </reference>
        </references>
      </pivotArea>
    </format>
    <format dxfId="645">
      <pivotArea collapsedLevelsAreSubtotals="1" fieldPosition="0">
        <references count="1">
          <reference field="1" count="1">
            <x v="118"/>
          </reference>
        </references>
      </pivotArea>
    </format>
    <format dxfId="644">
      <pivotArea collapsedLevelsAreSubtotals="1" fieldPosition="0">
        <references count="1">
          <reference field="1" count="1">
            <x v="119"/>
          </reference>
        </references>
      </pivotArea>
    </format>
    <format dxfId="643">
      <pivotArea collapsedLevelsAreSubtotals="1" fieldPosition="0">
        <references count="1">
          <reference field="1" count="1">
            <x v="120"/>
          </reference>
        </references>
      </pivotArea>
    </format>
    <format dxfId="642">
      <pivotArea collapsedLevelsAreSubtotals="1" fieldPosition="0">
        <references count="1">
          <reference field="1" count="1">
            <x v="121"/>
          </reference>
        </references>
      </pivotArea>
    </format>
    <format dxfId="641">
      <pivotArea collapsedLevelsAreSubtotals="1" fieldPosition="0">
        <references count="1">
          <reference field="1" count="1">
            <x v="122"/>
          </reference>
        </references>
      </pivotArea>
    </format>
    <format dxfId="640">
      <pivotArea collapsedLevelsAreSubtotals="1" fieldPosition="0">
        <references count="1">
          <reference field="1" count="1">
            <x v="123"/>
          </reference>
        </references>
      </pivotArea>
    </format>
    <format dxfId="639">
      <pivotArea collapsedLevelsAreSubtotals="1" fieldPosition="0">
        <references count="1">
          <reference field="1" count="1">
            <x v="124"/>
          </reference>
        </references>
      </pivotArea>
    </format>
    <format dxfId="638">
      <pivotArea collapsedLevelsAreSubtotals="1" fieldPosition="0">
        <references count="1">
          <reference field="1" count="1">
            <x v="125"/>
          </reference>
        </references>
      </pivotArea>
    </format>
    <format dxfId="637">
      <pivotArea collapsedLevelsAreSubtotals="1" fieldPosition="0">
        <references count="1">
          <reference field="1" count="1">
            <x v="126"/>
          </reference>
        </references>
      </pivotArea>
    </format>
    <format dxfId="636">
      <pivotArea collapsedLevelsAreSubtotals="1" fieldPosition="0">
        <references count="1">
          <reference field="1" count="1">
            <x v="127"/>
          </reference>
        </references>
      </pivotArea>
    </format>
    <format dxfId="635">
      <pivotArea collapsedLevelsAreSubtotals="1" fieldPosition="0">
        <references count="1">
          <reference field="1" count="1">
            <x v="128"/>
          </reference>
        </references>
      </pivotArea>
    </format>
    <format dxfId="634">
      <pivotArea collapsedLevelsAreSubtotals="1" fieldPosition="0">
        <references count="1">
          <reference field="1" count="1">
            <x v="129"/>
          </reference>
        </references>
      </pivotArea>
    </format>
    <format dxfId="633">
      <pivotArea collapsedLevelsAreSubtotals="1" fieldPosition="0">
        <references count="1">
          <reference field="1" count="1">
            <x v="130"/>
          </reference>
        </references>
      </pivotArea>
    </format>
    <format dxfId="632">
      <pivotArea collapsedLevelsAreSubtotals="1" fieldPosition="0">
        <references count="1">
          <reference field="1" count="1">
            <x v="131"/>
          </reference>
        </references>
      </pivotArea>
    </format>
    <format dxfId="631">
      <pivotArea collapsedLevelsAreSubtotals="1" fieldPosition="0">
        <references count="1">
          <reference field="1" count="1">
            <x v="132"/>
          </reference>
        </references>
      </pivotArea>
    </format>
    <format dxfId="630">
      <pivotArea collapsedLevelsAreSubtotals="1" fieldPosition="0">
        <references count="1">
          <reference field="1" count="1">
            <x v="133"/>
          </reference>
        </references>
      </pivotArea>
    </format>
    <format dxfId="629">
      <pivotArea collapsedLevelsAreSubtotals="1" fieldPosition="0">
        <references count="1">
          <reference field="1" count="1">
            <x v="134"/>
          </reference>
        </references>
      </pivotArea>
    </format>
    <format dxfId="628">
      <pivotArea collapsedLevelsAreSubtotals="1" fieldPosition="0">
        <references count="1">
          <reference field="1" count="1">
            <x v="135"/>
          </reference>
        </references>
      </pivotArea>
    </format>
    <format dxfId="627">
      <pivotArea collapsedLevelsAreSubtotals="1" fieldPosition="0">
        <references count="1">
          <reference field="1" count="1">
            <x v="136"/>
          </reference>
        </references>
      </pivotArea>
    </format>
    <format dxfId="626">
      <pivotArea collapsedLevelsAreSubtotals="1" fieldPosition="0">
        <references count="1">
          <reference field="1" count="1">
            <x v="137"/>
          </reference>
        </references>
      </pivotArea>
    </format>
    <format dxfId="625">
      <pivotArea collapsedLevelsAreSubtotals="1" fieldPosition="0">
        <references count="1">
          <reference field="1" count="1">
            <x v="138"/>
          </reference>
        </references>
      </pivotArea>
    </format>
    <format dxfId="624">
      <pivotArea collapsedLevelsAreSubtotals="1" fieldPosition="0">
        <references count="1">
          <reference field="1" count="1">
            <x v="139"/>
          </reference>
        </references>
      </pivotArea>
    </format>
    <format dxfId="623">
      <pivotArea collapsedLevelsAreSubtotals="1" fieldPosition="0">
        <references count="1">
          <reference field="1" count="1">
            <x v="140"/>
          </reference>
        </references>
      </pivotArea>
    </format>
    <format dxfId="622">
      <pivotArea collapsedLevelsAreSubtotals="1" fieldPosition="0">
        <references count="1">
          <reference field="1" count="1">
            <x v="141"/>
          </reference>
        </references>
      </pivotArea>
    </format>
    <format dxfId="621">
      <pivotArea collapsedLevelsAreSubtotals="1" fieldPosition="0">
        <references count="1">
          <reference field="1" count="1">
            <x v="142"/>
          </reference>
        </references>
      </pivotArea>
    </format>
    <format dxfId="620">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9">
      <pivotArea collapsedLevelsAreSubtotals="1" fieldPosition="0">
        <references count="2">
          <reference field="4294967294" count="2" selected="0">
            <x v="0"/>
            <x v="1"/>
          </reference>
          <reference field="1" count="1">
            <x v="205"/>
          </reference>
        </references>
      </pivotArea>
    </format>
    <format dxfId="618">
      <pivotArea collapsedLevelsAreSubtotals="1" fieldPosition="0">
        <references count="2">
          <reference field="4294967294" count="2" selected="0">
            <x v="0"/>
            <x v="1"/>
          </reference>
          <reference field="1" count="1">
            <x v="206"/>
          </reference>
        </references>
      </pivotArea>
    </format>
    <format dxfId="617">
      <pivotArea collapsedLevelsAreSubtotals="1" fieldPosition="0">
        <references count="2">
          <reference field="4294967294" count="2" selected="0">
            <x v="0"/>
            <x v="1"/>
          </reference>
          <reference field="1" count="1">
            <x v="209"/>
          </reference>
        </references>
      </pivotArea>
    </format>
    <format dxfId="616">
      <pivotArea collapsedLevelsAreSubtotals="1" fieldPosition="0">
        <references count="2">
          <reference field="4294967294" count="2" selected="0">
            <x v="0"/>
            <x v="1"/>
          </reference>
          <reference field="1" count="1">
            <x v="210"/>
          </reference>
        </references>
      </pivotArea>
    </format>
    <format dxfId="615">
      <pivotArea collapsedLevelsAreSubtotals="1" fieldPosition="0">
        <references count="2">
          <reference field="4294967294" count="2" selected="0">
            <x v="0"/>
            <x v="1"/>
          </reference>
          <reference field="1" count="1">
            <x v="211"/>
          </reference>
        </references>
      </pivotArea>
    </format>
    <format dxfId="614">
      <pivotArea collapsedLevelsAreSubtotals="1" fieldPosition="0">
        <references count="2">
          <reference field="4294967294" count="2" selected="0">
            <x v="0"/>
            <x v="1"/>
          </reference>
          <reference field="1" count="1">
            <x v="212"/>
          </reference>
        </references>
      </pivotArea>
    </format>
    <format dxfId="613">
      <pivotArea collapsedLevelsAreSubtotals="1" fieldPosition="0">
        <references count="2">
          <reference field="4294967294" count="2" selected="0">
            <x v="0"/>
            <x v="1"/>
          </reference>
          <reference field="1" count="1">
            <x v="213"/>
          </reference>
        </references>
      </pivotArea>
    </format>
    <format dxfId="612">
      <pivotArea collapsedLevelsAreSubtotals="1" fieldPosition="0">
        <references count="2">
          <reference field="4294967294" count="2" selected="0">
            <x v="0"/>
            <x v="1"/>
          </reference>
          <reference field="1" count="1">
            <x v="216"/>
          </reference>
        </references>
      </pivotArea>
    </format>
    <format dxfId="611">
      <pivotArea dataOnly="0" labelOnly="1" fieldPosition="0">
        <references count="1">
          <reference field="1" count="8">
            <x v="205"/>
            <x v="206"/>
            <x v="209"/>
            <x v="210"/>
            <x v="211"/>
            <x v="212"/>
            <x v="213"/>
            <x v="216"/>
          </reference>
        </references>
      </pivotArea>
    </format>
    <format dxfId="610">
      <pivotArea collapsedLevelsAreSubtotals="1" fieldPosition="0">
        <references count="2">
          <reference field="4294967294" count="1" selected="0">
            <x v="2"/>
          </reference>
          <reference field="1" count="1">
            <x v="205"/>
          </reference>
        </references>
      </pivotArea>
    </format>
    <format dxfId="609">
      <pivotArea collapsedLevelsAreSubtotals="1" fieldPosition="0">
        <references count="2">
          <reference field="4294967294" count="1" selected="0">
            <x v="2"/>
          </reference>
          <reference field="1" count="1">
            <x v="206"/>
          </reference>
        </references>
      </pivotArea>
    </format>
    <format dxfId="608">
      <pivotArea collapsedLevelsAreSubtotals="1" fieldPosition="0">
        <references count="2">
          <reference field="4294967294" count="1" selected="0">
            <x v="2"/>
          </reference>
          <reference field="1" count="1">
            <x v="209"/>
          </reference>
        </references>
      </pivotArea>
    </format>
    <format dxfId="607">
      <pivotArea collapsedLevelsAreSubtotals="1" fieldPosition="0">
        <references count="2">
          <reference field="4294967294" count="1" selected="0">
            <x v="2"/>
          </reference>
          <reference field="1" count="1">
            <x v="210"/>
          </reference>
        </references>
      </pivotArea>
    </format>
    <format dxfId="606">
      <pivotArea collapsedLevelsAreSubtotals="1" fieldPosition="0">
        <references count="2">
          <reference field="4294967294" count="1" selected="0">
            <x v="2"/>
          </reference>
          <reference field="1" count="1">
            <x v="211"/>
          </reference>
        </references>
      </pivotArea>
    </format>
    <format dxfId="605">
      <pivotArea collapsedLevelsAreSubtotals="1" fieldPosition="0">
        <references count="2">
          <reference field="4294967294" count="1" selected="0">
            <x v="2"/>
          </reference>
          <reference field="1" count="1">
            <x v="212"/>
          </reference>
        </references>
      </pivotArea>
    </format>
    <format dxfId="604">
      <pivotArea collapsedLevelsAreSubtotals="1" fieldPosition="0">
        <references count="2">
          <reference field="4294967294" count="1" selected="0">
            <x v="2"/>
          </reference>
          <reference field="1" count="1">
            <x v="213"/>
          </reference>
        </references>
      </pivotArea>
    </format>
    <format dxfId="603">
      <pivotArea collapsedLevelsAreSubtotals="1" fieldPosition="0">
        <references count="2">
          <reference field="4294967294" count="1" selected="0">
            <x v="2"/>
          </reference>
          <reference field="1" count="1">
            <x v="216"/>
          </reference>
        </references>
      </pivotArea>
    </format>
    <format dxfId="602">
      <pivotArea dataOnly="0" labelOnly="1" fieldPosition="0">
        <references count="1">
          <reference field="1" count="3">
            <x v="98"/>
            <x v="99"/>
            <x v="110"/>
          </reference>
        </references>
      </pivotArea>
    </format>
    <format dxfId="601">
      <pivotArea dataOnly="0" labelOnly="1" fieldPosition="0">
        <references count="1">
          <reference field="1" count="8">
            <x v="205"/>
            <x v="206"/>
            <x v="209"/>
            <x v="210"/>
            <x v="211"/>
            <x v="212"/>
            <x v="213"/>
            <x v="216"/>
          </reference>
        </references>
      </pivotArea>
    </format>
    <format dxfId="600">
      <pivotArea collapsedLevelsAreSubtotals="1" fieldPosition="0">
        <references count="1">
          <reference field="1" count="1">
            <x v="221"/>
          </reference>
        </references>
      </pivotArea>
    </format>
    <format dxfId="599">
      <pivotArea dataOnly="0" labelOnly="1" fieldPosition="0">
        <references count="1">
          <reference field="1" count="1">
            <x v="221"/>
          </reference>
        </references>
      </pivotArea>
    </format>
    <format dxfId="598">
      <pivotArea collapsedLevelsAreSubtotals="1" fieldPosition="0">
        <references count="1">
          <reference field="1" count="1">
            <x v="221"/>
          </reference>
        </references>
      </pivotArea>
    </format>
    <format dxfId="597">
      <pivotArea collapsedLevelsAreSubtotals="1" fieldPosition="0">
        <references count="1">
          <reference field="1" count="1">
            <x v="222"/>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37"/>
          </reference>
        </references>
      </pivotArea>
    </format>
    <format dxfId="590">
      <pivotArea collapsedLevelsAreSubtotals="1" fieldPosition="0">
        <references count="1">
          <reference field="1" count="1">
            <x v="114"/>
          </reference>
        </references>
      </pivotArea>
    </format>
    <format dxfId="589">
      <pivotArea collapsedLevelsAreSubtotals="1" fieldPosition="0">
        <references count="1">
          <reference field="1" count="1">
            <x v="235"/>
          </reference>
        </references>
      </pivotArea>
    </format>
    <format dxfId="588">
      <pivotArea collapsedLevelsAreSubtotals="1" fieldPosition="0">
        <references count="1">
          <reference field="1" count="1">
            <x v="234"/>
          </reference>
        </references>
      </pivotArea>
    </format>
    <format dxfId="587">
      <pivotArea collapsedLevelsAreSubtotals="1" fieldPosition="0">
        <references count="1">
          <reference field="1" count="1">
            <x v="236"/>
          </reference>
        </references>
      </pivotArea>
    </format>
    <format dxfId="586">
      <pivotArea collapsedLevelsAreSubtotals="1" fieldPosition="0">
        <references count="1">
          <reference field="1" count="1">
            <x v="233"/>
          </reference>
        </references>
      </pivotArea>
    </format>
    <format dxfId="585">
      <pivotArea collapsedLevelsAreSubtotals="1" fieldPosition="0">
        <references count="1">
          <reference field="1" count="1">
            <x v="238"/>
          </reference>
        </references>
      </pivotArea>
    </format>
    <format dxfId="584">
      <pivotArea collapsedLevelsAreSubtotals="1" fieldPosition="0">
        <references count="1">
          <reference field="1" count="1">
            <x v="230"/>
          </reference>
        </references>
      </pivotArea>
    </format>
    <format dxfId="583">
      <pivotArea dataOnly="0" labelOnly="1" fieldPosition="0">
        <references count="1">
          <reference field="1" count="8">
            <x v="114"/>
            <x v="230"/>
            <x v="233"/>
            <x v="234"/>
            <x v="235"/>
            <x v="236"/>
            <x v="237"/>
            <x v="238"/>
          </reference>
        </references>
      </pivotArea>
    </format>
    <format dxfId="582">
      <pivotArea collapsedLevelsAreSubtotals="1" fieldPosition="0">
        <references count="1">
          <reference field="1" count="1">
            <x v="237"/>
          </reference>
        </references>
      </pivotArea>
    </format>
    <format dxfId="581">
      <pivotArea collapsedLevelsAreSubtotals="1" fieldPosition="0">
        <references count="1">
          <reference field="1" count="1">
            <x v="114"/>
          </reference>
        </references>
      </pivotArea>
    </format>
    <format dxfId="580">
      <pivotArea collapsedLevelsAreSubtotals="1" fieldPosition="0">
        <references count="1">
          <reference field="1" count="1">
            <x v="235"/>
          </reference>
        </references>
      </pivotArea>
    </format>
    <format dxfId="579">
      <pivotArea collapsedLevelsAreSubtotals="1" fieldPosition="0">
        <references count="1">
          <reference field="1" count="1">
            <x v="234"/>
          </reference>
        </references>
      </pivotArea>
    </format>
    <format dxfId="578">
      <pivotArea collapsedLevelsAreSubtotals="1" fieldPosition="0">
        <references count="1">
          <reference field="1" count="1">
            <x v="236"/>
          </reference>
        </references>
      </pivotArea>
    </format>
    <format dxfId="577">
      <pivotArea collapsedLevelsAreSubtotals="1" fieldPosition="0">
        <references count="1">
          <reference field="1" count="1">
            <x v="233"/>
          </reference>
        </references>
      </pivotArea>
    </format>
    <format dxfId="576">
      <pivotArea collapsedLevelsAreSubtotals="1" fieldPosition="0">
        <references count="1">
          <reference field="1" count="1">
            <x v="238"/>
          </reference>
        </references>
      </pivotArea>
    </format>
    <format dxfId="575">
      <pivotArea collapsedLevelsAreSubtotals="1" fieldPosition="0">
        <references count="1">
          <reference field="1" count="1">
            <x v="230"/>
          </reference>
        </references>
      </pivotArea>
    </format>
    <format dxfId="574">
      <pivotArea dataOnly="0" labelOnly="1" fieldPosition="0">
        <references count="1">
          <reference field="1" count="8">
            <x v="114"/>
            <x v="230"/>
            <x v="233"/>
            <x v="234"/>
            <x v="235"/>
            <x v="236"/>
            <x v="237"/>
            <x v="238"/>
          </reference>
        </references>
      </pivotArea>
    </format>
    <format dxfId="573">
      <pivotArea collapsedLevelsAreSubtotals="1" fieldPosition="0">
        <references count="1">
          <reference field="1" count="1">
            <x v="237"/>
          </reference>
        </references>
      </pivotArea>
    </format>
    <format dxfId="572">
      <pivotArea collapsedLevelsAreSubtotals="1" fieldPosition="0">
        <references count="1">
          <reference field="1" count="1">
            <x v="114"/>
          </reference>
        </references>
      </pivotArea>
    </format>
    <format dxfId="571">
      <pivotArea collapsedLevelsAreSubtotals="1" fieldPosition="0">
        <references count="1">
          <reference field="1" count="1">
            <x v="235"/>
          </reference>
        </references>
      </pivotArea>
    </format>
    <format dxfId="570">
      <pivotArea collapsedLevelsAreSubtotals="1" fieldPosition="0">
        <references count="1">
          <reference field="1" count="1">
            <x v="234"/>
          </reference>
        </references>
      </pivotArea>
    </format>
    <format dxfId="569">
      <pivotArea collapsedLevelsAreSubtotals="1" fieldPosition="0">
        <references count="1">
          <reference field="1" count="1">
            <x v="236"/>
          </reference>
        </references>
      </pivotArea>
    </format>
    <format dxfId="568">
      <pivotArea collapsedLevelsAreSubtotals="1" fieldPosition="0">
        <references count="1">
          <reference field="1" count="1">
            <x v="233"/>
          </reference>
        </references>
      </pivotArea>
    </format>
    <format dxfId="567">
      <pivotArea collapsedLevelsAreSubtotals="1" fieldPosition="0">
        <references count="1">
          <reference field="1" count="1">
            <x v="238"/>
          </reference>
        </references>
      </pivotArea>
    </format>
    <format dxfId="566">
      <pivotArea collapsedLevelsAreSubtotals="1" fieldPosition="0">
        <references count="1">
          <reference field="1" count="1">
            <x v="230"/>
          </reference>
        </references>
      </pivotArea>
    </format>
    <format dxfId="565">
      <pivotArea dataOnly="0" labelOnly="1" fieldPosition="0">
        <references count="1">
          <reference field="1" count="8">
            <x v="114"/>
            <x v="230"/>
            <x v="233"/>
            <x v="234"/>
            <x v="235"/>
            <x v="236"/>
            <x v="237"/>
            <x v="238"/>
          </reference>
        </references>
      </pivotArea>
    </format>
    <format dxfId="564">
      <pivotArea collapsedLevelsAreSubtotals="1" fieldPosition="0">
        <references count="1">
          <reference field="1" count="1">
            <x v="222"/>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4"/>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3"/>
          </reference>
        </references>
      </pivotArea>
    </format>
    <format dxfId="556">
      <pivotArea collapsedLevelsAreSubtotals="1" fieldPosition="0">
        <references count="1">
          <reference field="1" count="1">
            <x v="224"/>
          </reference>
        </references>
      </pivotArea>
    </format>
    <format dxfId="555">
      <pivotArea collapsedLevelsAreSubtotals="1" fieldPosition="0">
        <references count="1">
          <reference field="1" count="1">
            <x v="225"/>
          </reference>
        </references>
      </pivotArea>
    </format>
    <format dxfId="554">
      <pivotArea collapsedLevelsAreSubtotals="1" fieldPosition="0">
        <references count="1">
          <reference field="1" count="1">
            <x v="226"/>
          </reference>
        </references>
      </pivotArea>
    </format>
    <format dxfId="553">
      <pivotArea dataOnly="0" labelOnly="1" fieldPosition="0">
        <references count="1">
          <reference field="1" count="17">
            <x v="86"/>
            <x v="87"/>
            <x v="92"/>
            <x v="93"/>
            <x v="94"/>
            <x v="95"/>
            <x v="96"/>
            <x v="97"/>
            <x v="98"/>
            <x v="99"/>
            <x v="100"/>
            <x v="101"/>
            <x v="102"/>
            <x v="103"/>
            <x v="104"/>
            <x v="106"/>
            <x v="108"/>
          </reference>
        </references>
      </pivotArea>
    </format>
    <format dxfId="552">
      <pivotArea outline="0" collapsedLevelsAreSubtotals="1" fieldPosition="0"/>
    </format>
    <format dxfId="551">
      <pivotArea dataOnly="0" labelOnly="1" fieldPosition="0">
        <references count="1">
          <reference field="1" count="21">
            <x v="80"/>
            <x v="82"/>
            <x v="83"/>
            <x v="89"/>
            <x v="91"/>
            <x v="95"/>
            <x v="96"/>
            <x v="98"/>
            <x v="99"/>
            <x v="100"/>
            <x v="101"/>
            <x v="102"/>
            <x v="103"/>
            <x v="104"/>
            <x v="106"/>
            <x v="109"/>
            <x v="115"/>
            <x v="157"/>
            <x v="171"/>
            <x v="173"/>
            <x v="180"/>
          </reference>
        </references>
      </pivotArea>
    </format>
    <format dxfId="550">
      <pivotArea outline="0" collapsedLevelsAreSubtotals="1" fieldPosition="0"/>
    </format>
    <format dxfId="549">
      <pivotArea type="all" dataOnly="0" outline="0" fieldPosition="0"/>
    </format>
    <format dxfId="548">
      <pivotArea outline="0" collapsedLevelsAreSubtotals="1" fieldPosition="0"/>
    </format>
    <format dxfId="547">
      <pivotArea field="1" type="button" dataOnly="0" labelOnly="1" outline="0" axis="axisRow" fieldPosition="0"/>
    </format>
    <format dxfId="54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3">
      <pivotArea dataOnly="0" labelOnly="1" grandRow="1" outline="0" fieldPosition="0"/>
    </format>
    <format dxfId="542">
      <pivotArea dataOnly="0" labelOnly="1" fieldPosition="0">
        <references count="2">
          <reference field="1" count="1" selected="0">
            <x v="81"/>
          </reference>
          <reference field="2" count="7">
            <x v="311"/>
            <x v="326"/>
            <x v="415"/>
            <x v="418"/>
            <x v="446"/>
            <x v="648"/>
            <x v="788"/>
          </reference>
        </references>
      </pivotArea>
    </format>
    <format dxfId="541">
      <pivotArea dataOnly="0" labelOnly="1" outline="0" fieldPosition="0">
        <references count="1">
          <reference field="4294967294" count="3">
            <x v="0"/>
            <x v="1"/>
            <x v="2"/>
          </reference>
        </references>
      </pivotArea>
    </format>
    <format dxfId="540">
      <pivotArea type="all" dataOnly="0" outline="0" fieldPosition="0"/>
    </format>
    <format dxfId="539">
      <pivotArea outline="0" collapsedLevelsAreSubtotals="1" fieldPosition="0"/>
    </format>
    <format dxfId="538">
      <pivotArea field="1" type="button" dataOnly="0" labelOnly="1" outline="0" axis="axisRow" fieldPosition="0"/>
    </format>
    <format dxfId="537">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6">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5">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4">
      <pivotArea dataOnly="0" labelOnly="1" grandRow="1" outline="0" fieldPosition="0"/>
    </format>
    <format dxfId="533">
      <pivotArea dataOnly="0" labelOnly="1" fieldPosition="0">
        <references count="2">
          <reference field="1" count="1" selected="0">
            <x v="81"/>
          </reference>
          <reference field="2" count="7">
            <x v="311"/>
            <x v="326"/>
            <x v="415"/>
            <x v="418"/>
            <x v="446"/>
            <x v="648"/>
            <x v="788"/>
          </reference>
        </references>
      </pivotArea>
    </format>
    <format dxfId="532">
      <pivotArea dataOnly="0" labelOnly="1" outline="0" fieldPosition="0">
        <references count="1">
          <reference field="4294967294" count="3">
            <x v="0"/>
            <x v="1"/>
            <x v="2"/>
          </reference>
        </references>
      </pivotArea>
    </format>
    <format dxfId="531">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30">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9">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8">
      <pivotArea outline="0" collapsedLevelsAreSubtotals="1" fieldPosition="0"/>
    </format>
    <format dxfId="527">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6">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5">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4">
      <pivotArea dataOnly="0" labelOnly="1" grandRow="1" outline="0" fieldPosition="0"/>
    </format>
    <format dxfId="523">
      <pivotArea collapsedLevelsAreSubtotals="1" fieldPosition="0">
        <references count="1">
          <reference field="1" count="1">
            <x v="81"/>
          </reference>
        </references>
      </pivotArea>
    </format>
    <format dxfId="522">
      <pivotArea collapsedLevelsAreSubtotals="1" fieldPosition="0">
        <references count="1">
          <reference field="1" count="1">
            <x v="82"/>
          </reference>
        </references>
      </pivotArea>
    </format>
    <format dxfId="521">
      <pivotArea collapsedLevelsAreSubtotals="1" fieldPosition="0">
        <references count="1">
          <reference field="1" count="1">
            <x v="83"/>
          </reference>
        </references>
      </pivotArea>
    </format>
    <format dxfId="520">
      <pivotArea dataOnly="0" labelOnly="1" fieldPosition="0">
        <references count="1">
          <reference field="1" count="3">
            <x v="81"/>
            <x v="82"/>
            <x v="83"/>
          </reference>
        </references>
      </pivotArea>
    </format>
    <format dxfId="519">
      <pivotArea collapsedLevelsAreSubtotals="1" fieldPosition="0">
        <references count="1">
          <reference field="1" count="1">
            <x v="80"/>
          </reference>
        </references>
      </pivotArea>
    </format>
    <format dxfId="518">
      <pivotArea dataOnly="0" labelOnly="1" fieldPosition="0">
        <references count="1">
          <reference field="1" count="1">
            <x v="80"/>
          </reference>
        </references>
      </pivotArea>
    </format>
    <format dxfId="517">
      <pivotArea collapsedLevelsAreSubtotals="1" fieldPosition="0">
        <references count="1">
          <reference field="1" count="1">
            <x v="79"/>
          </reference>
        </references>
      </pivotArea>
    </format>
    <format dxfId="516">
      <pivotArea dataOnly="0" labelOnly="1" fieldPosition="0">
        <references count="1">
          <reference field="1" count="1">
            <x v="79"/>
          </reference>
        </references>
      </pivotArea>
    </format>
    <format dxfId="515">
      <pivotArea collapsedLevelsAreSubtotals="1" fieldPosition="0">
        <references count="1">
          <reference field="1" count="1">
            <x v="79"/>
          </reference>
        </references>
      </pivotArea>
    </format>
    <format dxfId="514">
      <pivotArea dataOnly="0" labelOnly="1" fieldPosition="0">
        <references count="1">
          <reference field="1" count="1">
            <x v="79"/>
          </reference>
        </references>
      </pivotArea>
    </format>
    <format dxfId="513">
      <pivotArea dataOnly="0" labelOnly="1" fieldPosition="0">
        <references count="1">
          <reference field="1" count="1">
            <x v="78"/>
          </reference>
        </references>
      </pivotArea>
    </format>
    <format dxfId="512">
      <pivotArea dataOnly="0" labelOnly="1" fieldPosition="0">
        <references count="1">
          <reference field="1" count="1">
            <x v="77"/>
          </reference>
        </references>
      </pivotArea>
    </format>
    <format dxfId="511">
      <pivotArea collapsedLevelsAreSubtotals="1" fieldPosition="0">
        <references count="1">
          <reference field="1" count="1">
            <x v="77"/>
          </reference>
        </references>
      </pivotArea>
    </format>
    <format dxfId="510">
      <pivotArea collapsedLevelsAreSubtotals="1" fieldPosition="0">
        <references count="1">
          <reference field="1" count="1">
            <x v="78"/>
          </reference>
        </references>
      </pivotArea>
    </format>
    <format dxfId="509">
      <pivotArea collapsedLevelsAreSubtotals="1" fieldPosition="0">
        <references count="1">
          <reference field="1" count="1">
            <x v="75"/>
          </reference>
        </references>
      </pivotArea>
    </format>
    <format dxfId="508">
      <pivotArea collapsedLevelsAreSubtotals="1" fieldPosition="0">
        <references count="1">
          <reference field="1" count="1">
            <x v="76"/>
          </reference>
        </references>
      </pivotArea>
    </format>
    <format dxfId="507">
      <pivotArea dataOnly="0" labelOnly="1" fieldPosition="0">
        <references count="1">
          <reference field="1" count="2">
            <x v="75"/>
            <x v="76"/>
          </reference>
        </references>
      </pivotArea>
    </format>
    <format dxfId="506">
      <pivotArea dataOnly="0" labelOnly="1" fieldPosition="0">
        <references count="1">
          <reference field="1" count="2">
            <x v="240"/>
            <x v="241"/>
          </reference>
        </references>
      </pivotArea>
    </format>
    <format dxfId="505">
      <pivotArea dataOnly="0" labelOnly="1" fieldPosition="0">
        <references count="1">
          <reference field="1" count="3">
            <x v="72"/>
            <x v="73"/>
            <x v="74"/>
          </reference>
        </references>
      </pivotArea>
    </format>
    <format dxfId="504">
      <pivotArea collapsedLevelsAreSubtotals="1" fieldPosition="0">
        <references count="1">
          <reference field="1" count="1">
            <x v="72"/>
          </reference>
        </references>
      </pivotArea>
    </format>
    <format dxfId="503">
      <pivotArea collapsedLevelsAreSubtotals="1" fieldPosition="0">
        <references count="1">
          <reference field="1" count="1">
            <x v="73"/>
          </reference>
        </references>
      </pivotArea>
    </format>
    <format dxfId="502">
      <pivotArea collapsedLevelsAreSubtotals="1" fieldPosition="0">
        <references count="1">
          <reference field="1" count="1">
            <x v="74"/>
          </reference>
        </references>
      </pivotArea>
    </format>
    <format dxfId="501">
      <pivotArea collapsedLevelsAreSubtotals="1" fieldPosition="0">
        <references count="1">
          <reference field="1" count="1">
            <x v="70"/>
          </reference>
        </references>
      </pivotArea>
    </format>
    <format dxfId="500">
      <pivotArea collapsedLevelsAreSubtotals="1" fieldPosition="0">
        <references count="1">
          <reference field="1" count="1">
            <x v="71"/>
          </reference>
        </references>
      </pivotArea>
    </format>
    <format dxfId="499">
      <pivotArea dataOnly="0" labelOnly="1" fieldPosition="0">
        <references count="1">
          <reference field="1" count="2">
            <x v="70"/>
            <x v="71"/>
          </reference>
        </references>
      </pivotArea>
    </format>
    <format dxfId="498">
      <pivotArea collapsedLevelsAreSubtotals="1" fieldPosition="0">
        <references count="1">
          <reference field="1" count="1">
            <x v="68"/>
          </reference>
        </references>
      </pivotArea>
    </format>
    <format dxfId="497">
      <pivotArea collapsedLevelsAreSubtotals="1" fieldPosition="0">
        <references count="1">
          <reference field="1" count="1">
            <x v="69"/>
          </reference>
        </references>
      </pivotArea>
    </format>
    <format dxfId="496">
      <pivotArea dataOnly="0" labelOnly="1" fieldPosition="0">
        <references count="1">
          <reference field="1" count="2">
            <x v="68"/>
            <x v="69"/>
          </reference>
        </references>
      </pivotArea>
    </format>
    <format dxfId="495">
      <pivotArea collapsedLevelsAreSubtotals="1" fieldPosition="0">
        <references count="1">
          <reference field="1" count="1">
            <x v="67"/>
          </reference>
        </references>
      </pivotArea>
    </format>
    <format dxfId="494">
      <pivotArea dataOnly="0" labelOnly="1" fieldPosition="0">
        <references count="1">
          <reference field="1" count="1">
            <x v="67"/>
          </reference>
        </references>
      </pivotArea>
    </format>
    <format dxfId="493">
      <pivotArea collapsedLevelsAreSubtotals="1" fieldPosition="0">
        <references count="1">
          <reference field="1" count="1">
            <x v="66"/>
          </reference>
        </references>
      </pivotArea>
    </format>
    <format dxfId="492">
      <pivotArea dataOnly="0" labelOnly="1" fieldPosition="0">
        <references count="1">
          <reference field="1" count="1">
            <x v="66"/>
          </reference>
        </references>
      </pivotArea>
    </format>
    <format dxfId="491">
      <pivotArea collapsedLevelsAreSubtotals="1" fieldPosition="0">
        <references count="1">
          <reference field="1" count="1">
            <x v="64"/>
          </reference>
        </references>
      </pivotArea>
    </format>
    <format dxfId="490">
      <pivotArea collapsedLevelsAreSubtotals="1" fieldPosition="0">
        <references count="1">
          <reference field="1" count="1">
            <x v="65"/>
          </reference>
        </references>
      </pivotArea>
    </format>
    <format dxfId="489">
      <pivotArea dataOnly="0" labelOnly="1" fieldPosition="0">
        <references count="1">
          <reference field="1" count="2">
            <x v="64"/>
            <x v="65"/>
          </reference>
        </references>
      </pivotArea>
    </format>
    <format dxfId="488">
      <pivotArea collapsedLevelsAreSubtotals="1" fieldPosition="0">
        <references count="1">
          <reference field="1" count="1">
            <x v="63"/>
          </reference>
        </references>
      </pivotArea>
    </format>
    <format dxfId="487">
      <pivotArea dataOnly="0" labelOnly="1" fieldPosition="0">
        <references count="1">
          <reference field="1" count="1">
            <x v="63"/>
          </reference>
        </references>
      </pivotArea>
    </format>
    <format dxfId="486">
      <pivotArea collapsedLevelsAreSubtotals="1" fieldPosition="0">
        <references count="1">
          <reference field="1" count="1">
            <x v="62"/>
          </reference>
        </references>
      </pivotArea>
    </format>
    <format dxfId="485">
      <pivotArea dataOnly="0" labelOnly="1" fieldPosition="0">
        <references count="1">
          <reference field="1" count="1">
            <x v="62"/>
          </reference>
        </references>
      </pivotArea>
    </format>
    <format dxfId="484">
      <pivotArea collapsedLevelsAreSubtotals="1" fieldPosition="0">
        <references count="1">
          <reference field="1" count="1">
            <x v="60"/>
          </reference>
        </references>
      </pivotArea>
    </format>
    <format dxfId="483">
      <pivotArea collapsedLevelsAreSubtotals="1" fieldPosition="0">
        <references count="1">
          <reference field="1" count="1">
            <x v="61"/>
          </reference>
        </references>
      </pivotArea>
    </format>
    <format dxfId="482">
      <pivotArea dataOnly="0" labelOnly="1" fieldPosition="0">
        <references count="1">
          <reference field="1" count="2">
            <x v="60"/>
            <x v="61"/>
          </reference>
        </references>
      </pivotArea>
    </format>
    <format dxfId="481">
      <pivotArea collapsedLevelsAreSubtotals="1" fieldPosition="0">
        <references count="1">
          <reference field="1" count="1">
            <x v="59"/>
          </reference>
        </references>
      </pivotArea>
    </format>
    <format dxfId="480">
      <pivotArea dataOnly="0" labelOnly="1" fieldPosition="0">
        <references count="1">
          <reference field="1" count="1">
            <x v="59"/>
          </reference>
        </references>
      </pivotArea>
    </format>
    <format dxfId="479">
      <pivotArea collapsedLevelsAreSubtotals="1" fieldPosition="0">
        <references count="1">
          <reference field="1" count="1">
            <x v="244"/>
          </reference>
        </references>
      </pivotArea>
    </format>
    <format dxfId="478">
      <pivotArea collapsedLevelsAreSubtotals="1" fieldPosition="0">
        <references count="1">
          <reference field="1" count="1">
            <x v="56"/>
          </reference>
        </references>
      </pivotArea>
    </format>
    <format dxfId="477">
      <pivotArea collapsedLevelsAreSubtotals="1" fieldPosition="0">
        <references count="1">
          <reference field="1" count="1">
            <x v="254"/>
          </reference>
        </references>
      </pivotArea>
    </format>
    <format dxfId="476">
      <pivotArea dataOnly="0" labelOnly="1" fieldPosition="0">
        <references count="1">
          <reference field="1" count="3">
            <x v="56"/>
            <x v="244"/>
            <x v="254"/>
          </reference>
        </references>
      </pivotArea>
    </format>
    <format dxfId="475">
      <pivotArea collapsedLevelsAreSubtotals="1" fieldPosition="0">
        <references count="1">
          <reference field="1" count="1">
            <x v="58"/>
          </reference>
        </references>
      </pivotArea>
    </format>
    <format dxfId="474">
      <pivotArea dataOnly="0" labelOnly="1" fieldPosition="0">
        <references count="1">
          <reference field="1" count="1">
            <x v="58"/>
          </reference>
        </references>
      </pivotArea>
    </format>
    <format dxfId="473">
      <pivotArea collapsedLevelsAreSubtotals="1" fieldPosition="0">
        <references count="1">
          <reference field="1" count="1">
            <x v="56"/>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2">
            <x v="56"/>
            <x v="57"/>
          </reference>
        </references>
      </pivotArea>
    </format>
    <format dxfId="470">
      <pivotArea dataOnly="0" labelOnly="1" fieldPosition="0">
        <references count="1">
          <reference field="1" count="1">
            <x v="57"/>
          </reference>
        </references>
      </pivotArea>
    </format>
    <format dxfId="469">
      <pivotArea collapsedLevelsAreSubtotals="1" fieldPosition="0">
        <references count="1">
          <reference field="1" count="1">
            <x v="55"/>
          </reference>
        </references>
      </pivotArea>
    </format>
    <format dxfId="468">
      <pivotArea dataOnly="0" labelOnly="1" fieldPosition="0">
        <references count="1">
          <reference field="1" count="1">
            <x v="55"/>
          </reference>
        </references>
      </pivotArea>
    </format>
    <format dxfId="467">
      <pivotArea collapsedLevelsAreSubtotals="1" fieldPosition="0">
        <references count="1">
          <reference field="1" count="1">
            <x v="53"/>
          </reference>
        </references>
      </pivotArea>
    </format>
    <format dxfId="466">
      <pivotArea dataOnly="0" labelOnly="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1">
            <x v="54"/>
          </reference>
        </references>
      </pivotArea>
    </format>
    <format dxfId="463">
      <pivotArea dataOnly="0" labelOnly="1" fieldPosition="0">
        <references count="1">
          <reference field="1" count="1">
            <x v="52"/>
          </reference>
        </references>
      </pivotArea>
    </format>
    <format dxfId="462">
      <pivotArea collapsedLevelsAreSubtotals="1" fieldPosition="0">
        <references count="1">
          <reference field="1" count="1">
            <x v="52"/>
          </reference>
        </references>
      </pivotArea>
    </format>
    <format dxfId="461">
      <pivotArea collapsedLevelsAreSubtotals="1" fieldPosition="0">
        <references count="1">
          <reference field="1" count="1">
            <x v="53"/>
          </reference>
        </references>
      </pivotArea>
    </format>
    <format dxfId="460">
      <pivotArea dataOnly="0" labelOnly="1" fieldPosition="0">
        <references count="1">
          <reference field="1" count="2">
            <x v="52"/>
            <x v="53"/>
          </reference>
        </references>
      </pivotArea>
    </format>
    <format dxfId="459">
      <pivotArea collapsedLevelsAreSubtotals="1" fieldPosition="0">
        <references count="1">
          <reference field="1" count="1">
            <x v="51"/>
          </reference>
        </references>
      </pivotArea>
    </format>
    <format dxfId="458">
      <pivotArea dataOnly="0" labelOnly="1" fieldPosition="0">
        <references count="1">
          <reference field="1" count="1">
            <x v="51"/>
          </reference>
        </references>
      </pivotArea>
    </format>
    <format dxfId="457">
      <pivotArea collapsedLevelsAreSubtotals="1" fieldPosition="0">
        <references count="1">
          <reference field="1" count="1">
            <x v="49"/>
          </reference>
        </references>
      </pivotArea>
    </format>
    <format dxfId="456">
      <pivotArea collapsedLevelsAreSubtotals="1" fieldPosition="0">
        <references count="1">
          <reference field="1" count="1">
            <x v="50"/>
          </reference>
        </references>
      </pivotArea>
    </format>
    <format dxfId="455">
      <pivotArea dataOnly="0" labelOnly="1" fieldPosition="0">
        <references count="1">
          <reference field="1" count="2">
            <x v="49"/>
            <x v="50"/>
          </reference>
        </references>
      </pivotArea>
    </format>
    <format dxfId="454">
      <pivotArea collapsedLevelsAreSubtotals="1" fieldPosition="0">
        <references count="1">
          <reference field="1" count="1">
            <x v="48"/>
          </reference>
        </references>
      </pivotArea>
    </format>
    <format dxfId="453">
      <pivotArea dataOnly="0" labelOnly="1" fieldPosition="0">
        <references count="1">
          <reference field="1" count="1">
            <x v="48"/>
          </reference>
        </references>
      </pivotArea>
    </format>
    <format dxfId="452">
      <pivotArea collapsedLevelsAreSubtotals="1" fieldPosition="0">
        <references count="1">
          <reference field="1" count="1">
            <x v="47"/>
          </reference>
        </references>
      </pivotArea>
    </format>
    <format dxfId="451">
      <pivotArea dataOnly="0" labelOnly="1" fieldPosition="0">
        <references count="1">
          <reference field="1" count="1">
            <x v="47"/>
          </reference>
        </references>
      </pivotArea>
    </format>
    <format dxfId="450">
      <pivotArea collapsedLevelsAreSubtotals="1" fieldPosition="0">
        <references count="1">
          <reference field="1" count="1">
            <x v="45"/>
          </reference>
        </references>
      </pivotArea>
    </format>
    <format dxfId="449">
      <pivotArea collapsedLevelsAreSubtotals="1" fieldPosition="0">
        <references count="1">
          <reference field="1" count="1">
            <x v="46"/>
          </reference>
        </references>
      </pivotArea>
    </format>
    <format dxfId="448">
      <pivotArea dataOnly="0" labelOnly="1" fieldPosition="0">
        <references count="1">
          <reference field="1" count="2">
            <x v="45"/>
            <x v="46"/>
          </reference>
        </references>
      </pivotArea>
    </format>
    <format dxfId="447">
      <pivotArea collapsedLevelsAreSubtotals="1" fieldPosition="0">
        <references count="1">
          <reference field="1" count="1">
            <x v="263"/>
          </reference>
        </references>
      </pivotArea>
    </format>
    <format dxfId="446">
      <pivotArea dataOnly="0" labelOnly="1" fieldPosition="0">
        <references count="1">
          <reference field="1" count="1">
            <x v="263"/>
          </reference>
        </references>
      </pivotArea>
    </format>
    <format dxfId="445">
      <pivotArea collapsedLevelsAreSubtotals="1" fieldPosition="0">
        <references count="1">
          <reference field="1" count="1">
            <x v="41"/>
          </reference>
        </references>
      </pivotArea>
    </format>
    <format dxfId="444">
      <pivotArea collapsedLevelsAreSubtotals="1" fieldPosition="0">
        <references count="1">
          <reference field="1" count="1">
            <x v="42"/>
          </reference>
        </references>
      </pivotArea>
    </format>
    <format dxfId="443">
      <pivotArea collapsedLevelsAreSubtotals="1" fieldPosition="0">
        <references count="1">
          <reference field="1" count="1">
            <x v="43"/>
          </reference>
        </references>
      </pivotArea>
    </format>
    <format dxfId="442">
      <pivotArea collapsedLevelsAreSubtotals="1" fieldPosition="0">
        <references count="1">
          <reference field="1" count="1">
            <x v="44"/>
          </reference>
        </references>
      </pivotArea>
    </format>
    <format dxfId="441">
      <pivotArea dataOnly="0" labelOnly="1" fieldPosition="0">
        <references count="1">
          <reference field="1" count="4">
            <x v="41"/>
            <x v="42"/>
            <x v="43"/>
            <x v="44"/>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1">
            <x v="40"/>
          </reference>
        </references>
      </pivotArea>
    </format>
    <format dxfId="438">
      <pivotArea collapsedLevelsAreSubtotals="1" fieldPosition="0">
        <references count="1">
          <reference field="1" count="1">
            <x v="36"/>
          </reference>
        </references>
      </pivotArea>
    </format>
    <format dxfId="437">
      <pivotArea collapsedLevelsAreSubtotals="1" fieldPosition="0">
        <references count="1">
          <reference field="1" count="1">
            <x v="37"/>
          </reference>
        </references>
      </pivotArea>
    </format>
    <format dxfId="436">
      <pivotArea collapsedLevelsAreSubtotals="1" fieldPosition="0">
        <references count="1">
          <reference field="1" count="1">
            <x v="38"/>
          </reference>
        </references>
      </pivotArea>
    </format>
    <format dxfId="435">
      <pivotArea collapsedLevelsAreSubtotals="1" fieldPosition="0">
        <references count="1">
          <reference field="1" count="1">
            <x v="39"/>
          </reference>
        </references>
      </pivotArea>
    </format>
    <format dxfId="434">
      <pivotArea dataOnly="0" labelOnly="1" fieldPosition="0">
        <references count="1">
          <reference field="1" count="4">
            <x v="36"/>
            <x v="37"/>
            <x v="38"/>
            <x v="39"/>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4"/>
          </reference>
        </references>
      </pivotArea>
    </format>
    <format dxfId="428">
      <pivotArea dataOnly="0" labelOnly="1" fieldPosition="0">
        <references count="1">
          <reference field="1" count="3">
            <x v="32"/>
            <x v="33"/>
            <x v="34"/>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6"/>
          </reference>
        </references>
      </pivotArea>
    </format>
    <format dxfId="417">
      <pivotArea dataOnly="0" labelOnly="1" fieldPosition="0">
        <references count="1">
          <reference field="1" count="1">
            <x v="26"/>
          </reference>
        </references>
      </pivotArea>
    </format>
    <format dxfId="416">
      <pivotArea collapsedLevelsAreSubtotals="1" fieldPosition="0">
        <references count="1">
          <reference field="1" count="1">
            <x v="25"/>
          </reference>
        </references>
      </pivotArea>
    </format>
    <format dxfId="415">
      <pivotArea dataOnly="0" labelOnly="1" fieldPosition="0">
        <references count="1">
          <reference field="1" count="1">
            <x v="25"/>
          </reference>
        </references>
      </pivotArea>
    </format>
    <format dxfId="414">
      <pivotArea collapsedLevelsAreSubtotals="1" fieldPosition="0">
        <references count="1">
          <reference field="1" count="1">
            <x v="24"/>
          </reference>
        </references>
      </pivotArea>
    </format>
    <format dxfId="413">
      <pivotArea dataOnly="0" labelOnly="1" fieldPosition="0">
        <references count="1">
          <reference field="1" count="1">
            <x v="24"/>
          </reference>
        </references>
      </pivotArea>
    </format>
    <format dxfId="412">
      <pivotArea collapsedLevelsAreSubtotals="1" fieldPosition="0">
        <references count="1">
          <reference field="1" count="1">
            <x v="22"/>
          </reference>
        </references>
      </pivotArea>
    </format>
    <format dxfId="411">
      <pivotArea collapsedLevelsAreSubtotals="1" fieldPosition="0">
        <references count="1">
          <reference field="1" count="1">
            <x v="23"/>
          </reference>
        </references>
      </pivotArea>
    </format>
    <format dxfId="410">
      <pivotArea dataOnly="0" labelOnly="1" fieldPosition="0">
        <references count="1">
          <reference field="1" count="2">
            <x v="22"/>
            <x v="23"/>
          </reference>
        </references>
      </pivotArea>
    </format>
    <format dxfId="409">
      <pivotArea collapsedLevelsAreSubtotals="1" fieldPosition="0">
        <references count="1">
          <reference field="1" count="1">
            <x v="19"/>
          </reference>
        </references>
      </pivotArea>
    </format>
    <format dxfId="408">
      <pivotArea collapsedLevelsAreSubtotals="1" fieldPosition="0">
        <references count="1">
          <reference field="1" count="1">
            <x v="20"/>
          </reference>
        </references>
      </pivotArea>
    </format>
    <format dxfId="407">
      <pivotArea collapsedLevelsAreSubtotals="1" fieldPosition="0">
        <references count="1">
          <reference field="1" count="1">
            <x v="21"/>
          </reference>
        </references>
      </pivotArea>
    </format>
    <format dxfId="406">
      <pivotArea dataOnly="0" labelOnly="1" fieldPosition="0">
        <references count="1">
          <reference field="1" count="3">
            <x v="19"/>
            <x v="20"/>
            <x v="21"/>
          </reference>
        </references>
      </pivotArea>
    </format>
    <format dxfId="405">
      <pivotArea collapsedLevelsAreSubtotals="1" fieldPosition="0">
        <references count="1">
          <reference field="1" count="1">
            <x v="15"/>
          </reference>
        </references>
      </pivotArea>
    </format>
    <format dxfId="404">
      <pivotArea collapsedLevelsAreSubtotals="1" fieldPosition="0">
        <references count="1">
          <reference field="1" count="1">
            <x v="16"/>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4">
            <x v="15"/>
            <x v="16"/>
            <x v="17"/>
            <x v="18"/>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3"/>
          </reference>
        </references>
      </pivotArea>
    </format>
    <format dxfId="397">
      <pivotArea dataOnly="0" labelOnly="1" fieldPosition="0">
        <references count="1">
          <reference field="1" count="1">
            <x v="13"/>
          </reference>
        </references>
      </pivotArea>
    </format>
    <format dxfId="396">
      <pivotArea collapsedLevelsAreSubtotals="1" fieldPosition="0">
        <references count="1">
          <reference field="1" count="1">
            <x v="11"/>
          </reference>
        </references>
      </pivotArea>
    </format>
    <format dxfId="395">
      <pivotArea collapsedLevelsAreSubtotals="1" fieldPosition="0">
        <references count="1">
          <reference field="1" count="1">
            <x v="12"/>
          </reference>
        </references>
      </pivotArea>
    </format>
    <format dxfId="394">
      <pivotArea dataOnly="0" labelOnly="1" fieldPosition="0">
        <references count="1">
          <reference field="1" count="2">
            <x v="11"/>
            <x v="12"/>
          </reference>
        </references>
      </pivotArea>
    </format>
    <format dxfId="393">
      <pivotArea collapsedLevelsAreSubtotals="1" fieldPosition="0">
        <references count="1">
          <reference field="1" count="1">
            <x v="10"/>
          </reference>
        </references>
      </pivotArea>
    </format>
    <format dxfId="392">
      <pivotArea dataOnly="0" labelOnly="1" fieldPosition="0">
        <references count="1">
          <reference field="1" count="1">
            <x v="10"/>
          </reference>
        </references>
      </pivotArea>
    </format>
    <format dxfId="391">
      <pivotArea collapsedLevelsAreSubtotals="1" fieldPosition="0">
        <references count="1">
          <reference field="1" count="1">
            <x v="8"/>
          </reference>
        </references>
      </pivotArea>
    </format>
    <format dxfId="390">
      <pivotArea collapsedLevelsAreSubtotals="1" fieldPosition="0">
        <references count="1">
          <reference field="1" count="1">
            <x v="9"/>
          </reference>
        </references>
      </pivotArea>
    </format>
    <format dxfId="389">
      <pivotArea dataOnly="0" labelOnly="1" fieldPosition="0">
        <references count="1">
          <reference field="1" count="2">
            <x v="8"/>
            <x v="9"/>
          </reference>
        </references>
      </pivotArea>
    </format>
    <format dxfId="388">
      <pivotArea collapsedLevelsAreSubtotals="1" fieldPosition="0">
        <references count="1">
          <reference field="1" count="1">
            <x v="7"/>
          </reference>
        </references>
      </pivotArea>
    </format>
    <format dxfId="387">
      <pivotArea dataOnly="0" labelOnly="1" fieldPosition="0">
        <references count="1">
          <reference field="1" count="1">
            <x v="7"/>
          </reference>
        </references>
      </pivotArea>
    </format>
    <format dxfId="386">
      <pivotArea collapsedLevelsAreSubtotals="1" fieldPosition="0">
        <references count="1">
          <reference field="1" count="1">
            <x v="6"/>
          </reference>
        </references>
      </pivotArea>
    </format>
    <format dxfId="385">
      <pivotArea dataOnly="0" labelOnly="1" fieldPosition="0">
        <references count="1">
          <reference field="1" count="1">
            <x v="6"/>
          </reference>
        </references>
      </pivotArea>
    </format>
    <format dxfId="384">
      <pivotArea collapsedLevelsAreSubtotals="1" fieldPosition="0">
        <references count="3">
          <reference field="4294967294" count="1" selected="0">
            <x v="0"/>
          </reference>
          <reference field="1" count="1" selected="0">
            <x v="31"/>
          </reference>
          <reference field="2" count="1">
            <x v="854"/>
          </reference>
        </references>
      </pivotArea>
    </format>
    <format dxfId="383">
      <pivotArea collapsedLevelsAreSubtotals="1" fieldPosition="0">
        <references count="3">
          <reference field="4294967294" count="1" selected="0">
            <x v="0"/>
          </reference>
          <reference field="1" count="1" selected="0">
            <x v="31"/>
          </reference>
          <reference field="2" count="1">
            <x v="1108"/>
          </reference>
        </references>
      </pivotArea>
    </format>
    <format dxfId="382">
      <pivotArea collapsedLevelsAreSubtotals="1" fieldPosition="0">
        <references count="3">
          <reference field="4294967294" count="1" selected="0">
            <x v="0"/>
          </reference>
          <reference field="1" count="1" selected="0">
            <x v="31"/>
          </reference>
          <reference field="2" count="1">
            <x v="145"/>
          </reference>
        </references>
      </pivotArea>
    </format>
    <format dxfId="381">
      <pivotArea collapsedLevelsAreSubtotals="1" fieldPosition="0">
        <references count="3">
          <reference field="4294967294" count="1" selected="0">
            <x v="0"/>
          </reference>
          <reference field="1" count="1" selected="0">
            <x v="31"/>
          </reference>
          <reference field="2" count="1">
            <x v="619"/>
          </reference>
        </references>
      </pivotArea>
    </format>
    <format dxfId="380">
      <pivotArea collapsedLevelsAreSubtotals="1" fieldPosition="0">
        <references count="3">
          <reference field="4294967294" count="1" selected="0">
            <x v="0"/>
          </reference>
          <reference field="1" count="1" selected="0">
            <x v="42"/>
          </reference>
          <reference field="2" count="1">
            <x v="854"/>
          </reference>
        </references>
      </pivotArea>
    </format>
    <format dxfId="379">
      <pivotArea collapsedLevelsAreSubtotals="1" fieldPosition="0">
        <references count="3">
          <reference field="4294967294" count="1" selected="0">
            <x v="0"/>
          </reference>
          <reference field="1" count="1" selected="0">
            <x v="42"/>
          </reference>
          <reference field="2" count="1">
            <x v="865"/>
          </reference>
        </references>
      </pivotArea>
    </format>
    <format dxfId="378">
      <pivotArea collapsedLevelsAreSubtotals="1" fieldPosition="0">
        <references count="3">
          <reference field="4294967294" count="1" selected="0">
            <x v="0"/>
          </reference>
          <reference field="1" count="1" selected="0">
            <x v="42"/>
          </reference>
          <reference field="2" count="1">
            <x v="788"/>
          </reference>
        </references>
      </pivotArea>
    </format>
    <format dxfId="377">
      <pivotArea collapsedLevelsAreSubtotals="1" fieldPosition="0">
        <references count="1">
          <reference field="1" count="1">
            <x v="1"/>
          </reference>
        </references>
      </pivotArea>
    </format>
    <format dxfId="376">
      <pivotArea collapsedLevelsAreSubtotals="1" fieldPosition="0">
        <references count="1">
          <reference field="1" count="1">
            <x v="3"/>
          </reference>
        </references>
      </pivotArea>
    </format>
    <format dxfId="375">
      <pivotArea collapsedLevelsAreSubtotals="1" fieldPosition="0">
        <references count="1">
          <reference field="1" count="1">
            <x v="4"/>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4">
            <x v="1"/>
            <x v="3"/>
            <x v="4"/>
            <x v="5"/>
          </reference>
        </references>
      </pivotArea>
    </format>
    <format dxfId="372">
      <pivotArea collapsedLevelsAreSubtotals="1" fieldPosition="0">
        <references count="1">
          <reference field="1" count="1">
            <x v="0"/>
          </reference>
        </references>
      </pivotArea>
    </format>
    <format dxfId="37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68">
        <item x="0"/>
        <item x="1"/>
        <item x="2"/>
        <item x="4"/>
        <item x="5"/>
        <item x="7"/>
        <item x="8"/>
        <item x="9"/>
        <item m="1" x="1508"/>
        <item x="10"/>
        <item x="11"/>
        <item m="1" x="1434"/>
        <item x="12"/>
        <item x="13"/>
        <item x="14"/>
        <item x="16"/>
        <item x="18"/>
        <item x="3"/>
        <item x="6"/>
        <item x="17"/>
        <item x="15"/>
        <item m="1" x="1430"/>
        <item m="1" x="1501"/>
        <item x="21"/>
        <item x="19"/>
        <item x="23"/>
        <item m="1" x="1531"/>
        <item x="24"/>
        <item x="20"/>
        <item x="28"/>
        <item m="1" x="1498"/>
        <item x="22"/>
        <item x="39"/>
        <item x="25"/>
        <item x="29"/>
        <item x="35"/>
        <item x="26"/>
        <item x="27"/>
        <item x="38"/>
        <item x="30"/>
        <item x="31"/>
        <item x="32"/>
        <item m="1" x="1436"/>
        <item x="37"/>
        <item m="1" x="1519"/>
        <item m="1" x="1506"/>
        <item x="44"/>
        <item x="34"/>
        <item x="40"/>
        <item x="33"/>
        <item x="36"/>
        <item x="60"/>
        <item x="42"/>
        <item m="1" x="1444"/>
        <item x="41"/>
        <item x="47"/>
        <item x="43"/>
        <item m="1" x="1544"/>
        <item x="50"/>
        <item x="45"/>
        <item x="46"/>
        <item x="52"/>
        <item m="1" x="1542"/>
        <item x="53"/>
        <item x="56"/>
        <item x="49"/>
        <item x="48"/>
        <item m="1" x="1459"/>
        <item x="51"/>
        <item m="1" x="1517"/>
        <item x="54"/>
        <item x="55"/>
        <item x="62"/>
        <item x="57"/>
        <item x="58"/>
        <item x="59"/>
        <item x="61"/>
        <item x="63"/>
        <item x="64"/>
        <item x="65"/>
        <item x="66"/>
        <item x="67"/>
        <item x="68"/>
        <item m="1" x="1515"/>
        <item m="1" x="1468"/>
        <item x="69"/>
        <item x="70"/>
        <item x="76"/>
        <item m="1" x="1534"/>
        <item m="1" x="1549"/>
        <item m="1" x="1458"/>
        <item x="71"/>
        <item x="72"/>
        <item x="73"/>
        <item x="74"/>
        <item x="75"/>
        <item x="77"/>
        <item x="78"/>
        <item x="79"/>
        <item m="1" x="1480"/>
        <item x="87"/>
        <item x="80"/>
        <item m="1" x="1560"/>
        <item x="81"/>
        <item x="82"/>
        <item x="83"/>
        <item x="84"/>
        <item x="85"/>
        <item x="86"/>
        <item x="88"/>
        <item x="89"/>
        <item x="90"/>
        <item x="91"/>
        <item m="1" x="1477"/>
        <item x="92"/>
        <item x="93"/>
        <item x="94"/>
        <item x="95"/>
        <item m="1" x="1487"/>
        <item x="96"/>
        <item m="1" x="1541"/>
        <item x="97"/>
        <item x="104"/>
        <item x="98"/>
        <item x="109"/>
        <item x="99"/>
        <item x="100"/>
        <item x="101"/>
        <item x="102"/>
        <item x="103"/>
        <item x="105"/>
        <item x="106"/>
        <item x="107"/>
        <item x="108"/>
        <item x="110"/>
        <item x="111"/>
        <item m="1" x="14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94"/>
        <item m="1" x="1475"/>
        <item x="140"/>
        <item x="166"/>
        <item x="145"/>
        <item x="142"/>
        <item x="190"/>
        <item x="143"/>
        <item m="1" x="156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3"/>
        <item x="178"/>
        <item x="179"/>
        <item x="180"/>
        <item x="181"/>
        <item x="141"/>
        <item x="154"/>
        <item x="168"/>
        <item x="182"/>
        <item x="184"/>
        <item x="216"/>
        <item m="1" x="1507"/>
        <item x="186"/>
        <item x="185"/>
        <item x="187"/>
        <item x="188"/>
        <item x="191"/>
        <item x="192"/>
        <item x="193"/>
        <item x="194"/>
        <item x="195"/>
        <item x="196"/>
        <item x="197"/>
        <item x="199"/>
        <item x="200"/>
        <item x="201"/>
        <item m="1" x="1408"/>
        <item m="1" x="1410"/>
        <item m="1" x="1522"/>
        <item m="1" x="1425"/>
        <item x="204"/>
        <item x="202"/>
        <item x="203"/>
        <item x="205"/>
        <item x="206"/>
        <item x="183"/>
        <item x="207"/>
        <item x="208"/>
        <item x="209"/>
        <item x="210"/>
        <item x="211"/>
        <item m="1" x="1509"/>
        <item m="1" x="1421"/>
        <item m="1" x="1415"/>
        <item m="1" x="1455"/>
        <item x="222"/>
        <item x="212"/>
        <item x="213"/>
        <item x="214"/>
        <item x="215"/>
        <item x="217"/>
        <item m="1" x="1532"/>
        <item x="218"/>
        <item x="219"/>
        <item x="220"/>
        <item m="1" x="1433"/>
        <item m="1" x="1529"/>
        <item x="221"/>
        <item x="223"/>
        <item x="224"/>
        <item x="228"/>
        <item x="229"/>
        <item x="230"/>
        <item x="231"/>
        <item x="232"/>
        <item x="233"/>
        <item x="234"/>
        <item x="235"/>
        <item x="241"/>
        <item x="236"/>
        <item x="237"/>
        <item x="238"/>
        <item x="239"/>
        <item x="240"/>
        <item x="242"/>
        <item x="243"/>
        <item m="1" x="1520"/>
        <item x="244"/>
        <item x="245"/>
        <item m="1" x="147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9"/>
        <item x="373"/>
        <item x="114"/>
        <item x="279"/>
        <item x="280"/>
        <item x="226"/>
        <item m="1" x="1485"/>
        <item x="281"/>
        <item x="282"/>
        <item m="1" x="1481"/>
        <item x="283"/>
        <item x="284"/>
        <item x="285"/>
        <item x="286"/>
        <item x="287"/>
        <item x="288"/>
        <item x="135"/>
        <item x="289"/>
        <item x="290"/>
        <item x="291"/>
        <item x="292"/>
        <item x="293"/>
        <item x="294"/>
        <item x="295"/>
        <item x="296"/>
        <item x="370"/>
        <item x="297"/>
        <item x="298"/>
        <item x="299"/>
        <item x="300"/>
        <item x="301"/>
        <item m="1" x="1493"/>
        <item x="303"/>
        <item x="302"/>
        <item x="304"/>
        <item m="1" x="1467"/>
        <item x="312"/>
        <item x="309"/>
        <item x="308"/>
        <item m="1" x="1558"/>
        <item x="305"/>
        <item x="311"/>
        <item x="306"/>
        <item x="307"/>
        <item x="227"/>
        <item x="310"/>
        <item x="313"/>
        <item x="314"/>
        <item x="315"/>
        <item x="316"/>
        <item x="321"/>
        <item x="317"/>
        <item x="318"/>
        <item x="320"/>
        <item x="319"/>
        <item x="322"/>
        <item x="323"/>
        <item x="324"/>
        <item x="325"/>
        <item x="326"/>
        <item x="327"/>
        <item x="328"/>
        <item m="1" x="1428"/>
        <item x="329"/>
        <item x="330"/>
        <item x="331"/>
        <item x="332"/>
        <item x="333"/>
        <item x="334"/>
        <item m="1" x="1555"/>
        <item m="1" x="1564"/>
        <item m="1" x="1546"/>
        <item m="1" x="1482"/>
        <item m="1" x="1478"/>
        <item x="336"/>
        <item x="335"/>
        <item x="337"/>
        <item x="338"/>
        <item x="339"/>
        <item x="351"/>
        <item x="340"/>
        <item x="341"/>
        <item x="342"/>
        <item m="1" x="1435"/>
        <item x="343"/>
        <item x="344"/>
        <item x="345"/>
        <item x="346"/>
        <item x="361"/>
        <item x="347"/>
        <item x="348"/>
        <item x="349"/>
        <item x="350"/>
        <item x="355"/>
        <item x="352"/>
        <item x="354"/>
        <item x="353"/>
        <item x="371"/>
        <item x="362"/>
        <item x="356"/>
        <item x="357"/>
        <item x="358"/>
        <item x="359"/>
        <item x="360"/>
        <item m="1" x="1437"/>
        <item x="363"/>
        <item x="364"/>
        <item x="365"/>
        <item x="366"/>
        <item x="367"/>
        <item x="368"/>
        <item x="369"/>
        <item m="1" x="1423"/>
        <item m="1" x="1496"/>
        <item m="1" x="1502"/>
        <item x="372"/>
        <item x="374"/>
        <item m="1" x="1523"/>
        <item x="378"/>
        <item x="381"/>
        <item x="375"/>
        <item x="376"/>
        <item x="377"/>
        <item m="1" x="1456"/>
        <item x="379"/>
        <item x="380"/>
        <item x="382"/>
        <item x="383"/>
        <item x="384"/>
        <item x="385"/>
        <item m="1" x="1538"/>
        <item m="1" x="1503"/>
        <item x="386"/>
        <item x="387"/>
        <item x="388"/>
        <item m="1" x="1438"/>
        <item m="1" x="1450"/>
        <item x="389"/>
        <item x="390"/>
        <item x="393"/>
        <item x="391"/>
        <item x="392"/>
        <item x="394"/>
        <item x="395"/>
        <item x="396"/>
        <item x="397"/>
        <item x="398"/>
        <item x="399"/>
        <item m="1" x="1472"/>
        <item x="400"/>
        <item x="401"/>
        <item x="402"/>
        <item x="403"/>
        <item x="404"/>
        <item x="405"/>
        <item m="1" x="1554"/>
        <item x="406"/>
        <item x="407"/>
        <item x="409"/>
        <item x="410"/>
        <item x="411"/>
        <item x="412"/>
        <item m="1" x="1530"/>
        <item x="413"/>
        <item x="414"/>
        <item x="415"/>
        <item x="408"/>
        <item x="416"/>
        <item m="1" x="1561"/>
        <item x="421"/>
        <item m="1" x="1446"/>
        <item x="417"/>
        <item x="418"/>
        <item x="420"/>
        <item m="1" x="1548"/>
        <item x="419"/>
        <item m="1" x="1550"/>
        <item x="422"/>
        <item x="423"/>
        <item x="424"/>
        <item x="425"/>
        <item x="426"/>
        <item x="427"/>
        <item x="428"/>
        <item x="429"/>
        <item x="430"/>
        <item x="431"/>
        <item x="432"/>
        <item x="433"/>
        <item x="434"/>
        <item x="435"/>
        <item x="436"/>
        <item x="437"/>
        <item x="438"/>
        <item x="439"/>
        <item x="440"/>
        <item x="441"/>
        <item x="442"/>
        <item x="443"/>
        <item m="1" x="1489"/>
        <item x="444"/>
        <item x="445"/>
        <item x="446"/>
        <item m="1" x="1486"/>
        <item x="447"/>
        <item m="1" x="1492"/>
        <item x="448"/>
        <item m="1" x="1553"/>
        <item x="449"/>
        <item x="450"/>
        <item m="1" x="1413"/>
        <item x="451"/>
        <item x="452"/>
        <item x="453"/>
        <item x="454"/>
        <item x="455"/>
        <item m="1" x="1422"/>
        <item x="456"/>
        <item x="457"/>
        <item x="458"/>
        <item x="459"/>
        <item x="460"/>
        <item x="461"/>
        <item x="462"/>
        <item m="1" x="1431"/>
        <item x="463"/>
        <item x="464"/>
        <item x="465"/>
        <item x="466"/>
        <item x="467"/>
        <item x="468"/>
        <item x="469"/>
        <item x="470"/>
        <item x="471"/>
        <item x="472"/>
        <item m="1" x="1441"/>
        <item x="473"/>
        <item x="474"/>
        <item x="475"/>
        <item x="476"/>
        <item x="477"/>
        <item m="1" x="1525"/>
        <item x="478"/>
        <item x="479"/>
        <item x="480"/>
        <item x="481"/>
        <item m="1" x="1513"/>
        <item x="482"/>
        <item x="483"/>
        <item x="484"/>
        <item x="485"/>
        <item x="486"/>
        <item x="487"/>
        <item x="488"/>
        <item x="489"/>
        <item x="490"/>
        <item x="491"/>
        <item x="492"/>
        <item x="493"/>
        <item x="494"/>
        <item x="495"/>
        <item x="496"/>
        <item m="1" x="1536"/>
        <item x="498"/>
        <item x="497"/>
        <item x="499"/>
        <item x="500"/>
        <item x="501"/>
        <item x="502"/>
        <item x="503"/>
        <item m="1" x="1488"/>
        <item x="505"/>
        <item x="506"/>
        <item x="507"/>
        <item x="508"/>
        <item x="509"/>
        <item x="510"/>
        <item x="511"/>
        <item m="1" x="1451"/>
        <item m="1" x="1445"/>
        <item m="1" x="1447"/>
        <item m="1" x="1439"/>
        <item m="1" x="1535"/>
        <item x="512"/>
        <item x="513"/>
        <item x="514"/>
        <item x="515"/>
        <item x="516"/>
        <item x="517"/>
        <item x="518"/>
        <item x="519"/>
        <item x="520"/>
        <item x="521"/>
        <item x="522"/>
        <item x="523"/>
        <item x="524"/>
        <item x="525"/>
        <item x="526"/>
        <item x="527"/>
        <item x="528"/>
        <item x="529"/>
        <item x="530"/>
        <item x="531"/>
        <item x="532"/>
        <item m="1" x="1499"/>
        <item x="538"/>
        <item x="533"/>
        <item x="534"/>
        <item x="535"/>
        <item x="536"/>
        <item x="537"/>
        <item x="542"/>
        <item x="539"/>
        <item x="540"/>
        <item x="541"/>
        <item x="543"/>
        <item x="544"/>
        <item x="545"/>
        <item x="546"/>
        <item x="547"/>
        <item x="549"/>
        <item x="550"/>
        <item x="551"/>
        <item x="552"/>
        <item x="553"/>
        <item x="554"/>
        <item x="555"/>
        <item m="1" x="145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14"/>
        <item x="607"/>
        <item x="611"/>
        <item x="612"/>
        <item x="613"/>
        <item x="614"/>
        <item x="608"/>
        <item x="609"/>
        <item x="610"/>
        <item x="615"/>
        <item x="616"/>
        <item m="1" x="1427"/>
        <item x="617"/>
        <item x="618"/>
        <item m="1" x="1516"/>
        <item x="619"/>
        <item x="620"/>
        <item x="621"/>
        <item m="1" x="1419"/>
        <item x="622"/>
        <item m="1" x="1524"/>
        <item x="624"/>
        <item x="623"/>
        <item x="625"/>
        <item x="627"/>
        <item x="629"/>
        <item x="630"/>
        <item x="631"/>
        <item x="632"/>
        <item x="633"/>
        <item x="634"/>
        <item m="1" x="1442"/>
        <item x="648"/>
        <item x="635"/>
        <item m="1" x="1457"/>
        <item m="1" x="1545"/>
        <item x="636"/>
        <item x="637"/>
        <item x="626"/>
        <item x="641"/>
        <item x="642"/>
        <item x="643"/>
        <item m="1" x="1539"/>
        <item x="628"/>
        <item x="644"/>
        <item x="645"/>
        <item x="646"/>
        <item m="1" x="1540"/>
        <item x="647"/>
        <item x="649"/>
        <item x="650"/>
        <item x="640"/>
        <item x="651"/>
        <item x="652"/>
        <item m="1" x="1511"/>
        <item x="653"/>
        <item m="1" x="1510"/>
        <item m="1" x="1500"/>
        <item m="1" x="1518"/>
        <item x="654"/>
        <item m="1" x="1452"/>
        <item x="655"/>
        <item x="656"/>
        <item x="657"/>
        <item x="658"/>
        <item x="659"/>
        <item x="639"/>
        <item x="660"/>
        <item x="662"/>
        <item x="665"/>
        <item x="663"/>
        <item x="664"/>
        <item x="638"/>
        <item x="661"/>
        <item x="666"/>
        <item x="667"/>
        <item x="668"/>
        <item x="669"/>
        <item x="670"/>
        <item x="671"/>
        <item x="672"/>
        <item x="673"/>
        <item x="674"/>
        <item m="1" x="1543"/>
        <item x="675"/>
        <item m="1" x="1547"/>
        <item x="679"/>
        <item x="676"/>
        <item x="677"/>
        <item x="678"/>
        <item x="680"/>
        <item m="1" x="1460"/>
        <item x="682"/>
        <item x="681"/>
        <item x="683"/>
        <item x="684"/>
        <item x="685"/>
        <item x="686"/>
        <item x="687"/>
        <item x="688"/>
        <item x="697"/>
        <item x="689"/>
        <item x="690"/>
        <item x="691"/>
        <item x="705"/>
        <item x="700"/>
        <item x="692"/>
        <item x="693"/>
        <item x="694"/>
        <item m="1" x="1466"/>
        <item x="695"/>
        <item x="696"/>
        <item x="698"/>
        <item x="699"/>
        <item x="701"/>
        <item m="1" x="1462"/>
        <item x="702"/>
        <item x="706"/>
        <item x="703"/>
        <item x="704"/>
        <item x="707"/>
        <item x="717"/>
        <item x="709"/>
        <item x="710"/>
        <item x="711"/>
        <item x="712"/>
        <item x="713"/>
        <item x="714"/>
        <item x="715"/>
        <item x="716"/>
        <item m="1" x="1491"/>
        <item x="718"/>
        <item x="719"/>
        <item x="720"/>
        <item m="1" x="1521"/>
        <item m="1" x="1552"/>
        <item m="1" x="1556"/>
        <item x="726"/>
        <item x="721"/>
        <item x="722"/>
        <item x="723"/>
        <item x="724"/>
        <item x="725"/>
        <item x="727"/>
        <item x="758"/>
        <item x="728"/>
        <item x="729"/>
        <item x="730"/>
        <item m="1" x="1504"/>
        <item m="1" x="1420"/>
        <item x="731"/>
        <item x="732"/>
        <item x="733"/>
        <item m="1" x="1476"/>
        <item x="734"/>
        <item x="735"/>
        <item x="736"/>
        <item x="737"/>
        <item x="738"/>
        <item x="739"/>
        <item x="740"/>
        <item x="741"/>
        <item x="742"/>
        <item x="765"/>
        <item x="743"/>
        <item x="744"/>
        <item x="745"/>
        <item x="746"/>
        <item x="753"/>
        <item x="747"/>
        <item m="1" x="1411"/>
        <item x="748"/>
        <item x="749"/>
        <item x="750"/>
        <item x="751"/>
        <item x="767"/>
        <item x="752"/>
        <item x="754"/>
        <item x="755"/>
        <item x="756"/>
        <item x="757"/>
        <item m="1" x="1484"/>
        <item x="759"/>
        <item m="1" x="1566"/>
        <item x="760"/>
        <item m="1" x="1426"/>
        <item x="761"/>
        <item x="762"/>
        <item m="1" x="1432"/>
        <item x="763"/>
        <item m="1" x="1414"/>
        <item x="764"/>
        <item x="766"/>
        <item x="768"/>
        <item m="1" x="1418"/>
        <item x="769"/>
        <item x="770"/>
        <item x="771"/>
        <item x="772"/>
        <item x="773"/>
        <item x="774"/>
        <item x="775"/>
        <item x="776"/>
        <item x="777"/>
        <item x="778"/>
        <item x="779"/>
        <item x="780"/>
        <item x="781"/>
        <item x="782"/>
        <item x="783"/>
        <item x="784"/>
        <item x="785"/>
        <item x="786"/>
        <item x="787"/>
        <item x="788"/>
        <item x="789"/>
        <item x="790"/>
        <item x="791"/>
        <item m="1" x="1417"/>
        <item x="792"/>
        <item m="1" x="1463"/>
        <item x="793"/>
        <item x="799"/>
        <item x="794"/>
        <item x="795"/>
        <item x="796"/>
        <item x="797"/>
        <item x="798"/>
        <item x="800"/>
        <item x="802"/>
        <item x="801"/>
        <item m="1" x="1464"/>
        <item x="803"/>
        <item x="804"/>
        <item x="805"/>
        <item x="808"/>
        <item x="810"/>
        <item x="809"/>
        <item m="1" x="1461"/>
        <item x="812"/>
        <item x="807"/>
        <item m="1" x="1453"/>
        <item x="819"/>
        <item m="1" x="1557"/>
        <item x="811"/>
        <item x="813"/>
        <item x="815"/>
        <item x="816"/>
        <item x="806"/>
        <item x="814"/>
        <item x="817"/>
        <item m="1" x="1474"/>
        <item x="821"/>
        <item x="822"/>
        <item m="1" x="1533"/>
        <item x="824"/>
        <item x="829"/>
        <item x="827"/>
        <item x="823"/>
        <item x="828"/>
        <item x="833"/>
        <item x="831"/>
        <item x="832"/>
        <item x="830"/>
        <item x="708"/>
        <item x="837"/>
        <item x="838"/>
        <item x="835"/>
        <item x="840"/>
        <item x="841"/>
        <item x="842"/>
        <item m="1" x="1551"/>
        <item x="834"/>
        <item m="1" x="1490"/>
        <item m="1" x="1537"/>
        <item x="820"/>
        <item x="836"/>
        <item x="839"/>
        <item x="846"/>
        <item x="845"/>
        <item x="847"/>
        <item x="844"/>
        <item m="1" x="1483"/>
        <item x="849"/>
        <item x="848"/>
        <item x="843"/>
        <item m="1" x="1559"/>
        <item x="850"/>
        <item x="852"/>
        <item x="853"/>
        <item x="854"/>
        <item x="856"/>
        <item x="857"/>
        <item x="851"/>
        <item x="858"/>
        <item x="859"/>
        <item m="1" x="1526"/>
        <item x="818"/>
        <item x="855"/>
        <item x="826"/>
        <item x="860"/>
        <item x="862"/>
        <item x="861"/>
        <item x="863"/>
        <item x="864"/>
        <item x="865"/>
        <item x="868"/>
        <item x="866"/>
        <item x="867"/>
        <item x="870"/>
        <item x="871"/>
        <item x="872"/>
        <item x="874"/>
        <item m="1" x="1479"/>
        <item x="873"/>
        <item x="877"/>
        <item x="879"/>
        <item x="878"/>
        <item x="876"/>
        <item x="880"/>
        <item x="881"/>
        <item x="883"/>
        <item m="1" x="1470"/>
        <item x="875"/>
        <item x="882"/>
        <item x="884"/>
        <item x="886"/>
        <item x="887"/>
        <item x="885"/>
        <item x="825"/>
        <item x="888"/>
        <item x="889"/>
        <item x="890"/>
        <item x="891"/>
        <item m="1" x="1495"/>
        <item x="892"/>
        <item x="893"/>
        <item x="894"/>
        <item x="898"/>
        <item x="896"/>
        <item x="900"/>
        <item x="895"/>
        <item x="897"/>
        <item x="902"/>
        <item x="903"/>
        <item x="904"/>
        <item x="905"/>
        <item x="901"/>
        <item x="899"/>
        <item x="906"/>
        <item x="869"/>
        <item m="1" x="1409"/>
        <item x="908"/>
        <item x="907"/>
        <item x="909"/>
        <item m="1" x="141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97"/>
        <item x="1156"/>
        <item x="1154"/>
        <item x="1159"/>
        <item x="1158"/>
        <item x="1162"/>
        <item x="1133"/>
        <item x="1123"/>
        <item x="1164"/>
        <item x="1161"/>
        <item x="1163"/>
        <item x="1165"/>
        <item x="1166"/>
        <item x="1167"/>
        <item x="1168"/>
        <item x="1169"/>
        <item x="1171"/>
        <item x="1173"/>
        <item x="1174"/>
        <item m="1" x="141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24"/>
        <item m="1" x="1505"/>
        <item m="1" x="1512"/>
        <item m="1" x="1429"/>
        <item m="1" x="1448"/>
        <item x="1210"/>
        <item x="1213"/>
        <item x="1205"/>
        <item x="1209"/>
        <item x="1211"/>
        <item x="1208"/>
        <item x="1204"/>
        <item x="1206"/>
        <item x="1214"/>
        <item x="1215"/>
        <item x="1207"/>
        <item x="1212"/>
        <item m="1" x="1527"/>
        <item x="1217"/>
        <item x="1222"/>
        <item x="1223"/>
        <item x="1225"/>
        <item m="1" x="1473"/>
        <item x="1219"/>
        <item x="1221"/>
        <item x="1224"/>
        <item x="1218"/>
        <item x="1228"/>
        <item x="1227"/>
        <item x="1229"/>
        <item x="1226"/>
        <item m="1" x="1528"/>
        <item x="1216"/>
        <item x="1232"/>
        <item x="1231"/>
        <item x="1233"/>
        <item x="1234"/>
        <item x="1236"/>
        <item x="1237"/>
        <item x="1239"/>
        <item x="1243"/>
        <item x="1244"/>
        <item x="1245"/>
        <item x="1248"/>
        <item x="1249"/>
        <item x="1242"/>
        <item m="1" x="1465"/>
        <item m="1" x="144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7"/>
        <item t="default"/>
      </items>
    </pivotField>
    <pivotField axis="axisRow" showAll="0">
      <items count="182">
        <item x="48"/>
        <item x="50"/>
        <item x="39"/>
        <item x="37"/>
        <item x="40"/>
        <item x="0"/>
        <item x="24"/>
        <item x="34"/>
        <item x="31"/>
        <item x="20"/>
        <item x="25"/>
        <item x="29"/>
        <item x="16"/>
        <item m="1" x="17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73"/>
        <item x="44"/>
        <item x="47"/>
        <item x="49"/>
        <item m="1" x="163"/>
        <item x="27"/>
        <item x="52"/>
        <item x="51"/>
        <item x="53"/>
        <item x="54"/>
        <item x="55"/>
        <item x="56"/>
        <item x="57"/>
        <item x="58"/>
        <item x="59"/>
        <item x="60"/>
        <item x="61"/>
        <item x="62"/>
        <item x="63"/>
        <item x="64"/>
        <item x="65"/>
        <item x="66"/>
        <item x="70"/>
        <item m="1" x="166"/>
        <item x="67"/>
        <item x="69"/>
        <item m="1" x="175"/>
        <item x="71"/>
        <item x="72"/>
        <item x="73"/>
        <item m="1" x="164"/>
        <item x="132"/>
        <item m="1" x="170"/>
        <item x="77"/>
        <item x="76"/>
        <item x="82"/>
        <item x="74"/>
        <item x="75"/>
        <item x="68"/>
        <item x="78"/>
        <item x="79"/>
        <item m="1" x="177"/>
        <item x="80"/>
        <item x="81"/>
        <item m="1" x="171"/>
        <item sd="0" x="83"/>
        <item sd="0" x="85"/>
        <item x="84"/>
        <item x="86"/>
        <item x="87"/>
        <item x="89"/>
        <item x="90"/>
        <item x="91"/>
        <item x="92"/>
        <item x="93"/>
        <item x="94"/>
        <item x="95"/>
        <item x="96"/>
        <item m="1" x="174"/>
        <item m="1" x="169"/>
        <item m="1" x="160"/>
        <item x="97"/>
        <item x="100"/>
        <item m="1" x="158"/>
        <item x="101"/>
        <item x="110"/>
        <item x="106"/>
        <item x="88"/>
        <item x="102"/>
        <item x="112"/>
        <item x="113"/>
        <item m="1" x="172"/>
        <item x="108"/>
        <item x="115"/>
        <item m="1" x="179"/>
        <item x="116"/>
        <item x="98"/>
        <item x="99"/>
        <item x="103"/>
        <item x="114"/>
        <item x="107"/>
        <item x="117"/>
        <item x="118"/>
        <item x="119"/>
        <item x="120"/>
        <item m="1" x="162"/>
        <item x="121"/>
        <item x="104"/>
        <item x="122"/>
        <item x="105"/>
        <item x="111"/>
        <item x="109"/>
        <item m="1" x="168"/>
        <item x="123"/>
        <item m="1" x="161"/>
        <item x="124"/>
        <item x="125"/>
        <item x="126"/>
        <item m="1" x="159"/>
        <item x="130"/>
        <item x="128"/>
        <item x="131"/>
        <item x="133"/>
        <item m="1" x="180"/>
        <item x="129"/>
        <item x="135"/>
        <item x="136"/>
        <item x="134"/>
        <item x="137"/>
        <item x="138"/>
        <item x="139"/>
        <item x="127"/>
        <item x="140"/>
        <item x="142"/>
        <item x="144"/>
        <item x="145"/>
        <item m="1" x="167"/>
        <item x="148"/>
        <item x="149"/>
        <item x="147"/>
        <item x="143"/>
        <item x="151"/>
        <item m="1" x="157"/>
        <item x="150"/>
        <item x="153"/>
        <item x="141"/>
        <item x="152"/>
        <item x="154"/>
        <item x="155"/>
        <item m="1" x="176"/>
        <item x="146"/>
        <item x="156"/>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10"/>
    </i>
    <i>
      <x v="30"/>
    </i>
    <i>
      <x v="52"/>
    </i>
    <i>
      <x v="62"/>
    </i>
    <i>
      <x v="4"/>
    </i>
    <i>
      <x v="33"/>
    </i>
    <i>
      <x v="80"/>
    </i>
    <i>
      <x v="11"/>
    </i>
    <i>
      <x v="45"/>
    </i>
    <i>
      <x v="13"/>
    </i>
    <i>
      <x v="66"/>
    </i>
    <i>
      <x v="78"/>
    </i>
    <i>
      <x v="76"/>
    </i>
    <i>
      <x v="14"/>
    </i>
    <i>
      <x v="7"/>
    </i>
    <i>
      <x v="20"/>
    </i>
    <i>
      <x v="22"/>
    </i>
    <i>
      <x v="60"/>
    </i>
    <i>
      <x v="64"/>
    </i>
    <i>
      <x v="6"/>
    </i>
    <i>
      <x v="19"/>
    </i>
    <i>
      <x v="75"/>
    </i>
    <i>
      <x v="12"/>
    </i>
    <i>
      <x v="63"/>
    </i>
    <i>
      <x v="65"/>
    </i>
    <i>
      <x v="8"/>
    </i>
    <i>
      <x v="71"/>
    </i>
    <i>
      <x v="18"/>
    </i>
    <i>
      <x v="74"/>
    </i>
    <i>
      <x v="54"/>
    </i>
    <i>
      <x v="23"/>
    </i>
    <i>
      <x v="59"/>
    </i>
    <i>
      <x v="79"/>
    </i>
    <i>
      <x v="5"/>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70">
      <pivotArea collapsedLevelsAreSubtotals="1" fieldPosition="0">
        <references count="1">
          <reference field="2" count="1">
            <x v="9"/>
          </reference>
        </references>
      </pivotArea>
    </format>
    <format dxfId="369">
      <pivotArea collapsedLevelsAreSubtotals="1" fieldPosition="0">
        <references count="1">
          <reference field="2" count="1">
            <x v="4"/>
          </reference>
        </references>
      </pivotArea>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outline="0" collapsedLevelsAreSubtotals="1" fieldPosition="0">
        <references count="1">
          <reference field="4294967294" count="1" selected="0">
            <x v="0"/>
          </reference>
        </references>
      </pivotArea>
    </format>
    <format dxfId="361">
      <pivotArea dataOnly="0" labelOnly="1" outline="0" fieldPosition="0">
        <references count="1">
          <reference field="0" count="0"/>
        </references>
      </pivotArea>
    </format>
    <format dxfId="360">
      <pivotArea dataOnly="0" labelOnly="1" outline="0" fieldPosition="0">
        <references count="1">
          <reference field="4294967294" count="1">
            <x v="0"/>
          </reference>
        </references>
      </pivotArea>
    </format>
    <format dxfId="359">
      <pivotArea outline="0" collapsedLevelsAreSubtotals="1" fieldPosition="0">
        <references count="1">
          <reference field="4294967294" count="1" selected="0">
            <x v="1"/>
          </reference>
        </references>
      </pivotArea>
    </format>
    <format dxfId="358">
      <pivotArea dataOnly="0" labelOnly="1" outline="0" fieldPosition="0">
        <references count="1">
          <reference field="4294967294" count="1">
            <x v="1"/>
          </reference>
        </references>
      </pivotArea>
    </format>
    <format dxfId="357">
      <pivotArea outline="0" collapsedLevelsAreSubtotals="1" fieldPosition="0">
        <references count="1">
          <reference field="4294967294" count="1" selected="0">
            <x v="2"/>
          </reference>
        </references>
      </pivotArea>
    </format>
    <format dxfId="356">
      <pivotArea dataOnly="0" labelOnly="1" outline="0" fieldPosition="0">
        <references count="1">
          <reference field="4294967294" count="1">
            <x v="2"/>
          </reference>
        </references>
      </pivotArea>
    </format>
    <format dxfId="355">
      <pivotArea grandRow="1" outline="0" collapsedLevelsAreSubtotals="1" fieldPosition="0"/>
    </format>
    <format dxfId="354">
      <pivotArea dataOnly="0" labelOnly="1" grandRow="1" outline="0" fieldPosition="0"/>
    </format>
    <format dxfId="353">
      <pivotArea type="all" dataOnly="0" outline="0" fieldPosition="0"/>
    </format>
    <format dxfId="352">
      <pivotArea grandRow="1" outline="0" collapsedLevelsAreSubtotals="1" fieldPosition="0"/>
    </format>
    <format dxfId="351">
      <pivotArea dataOnly="0" labelOnly="1" grandRow="1" outline="0" fieldPosition="0"/>
    </format>
    <format dxfId="350">
      <pivotArea collapsedLevelsAreSubtotals="1" fieldPosition="0">
        <references count="2">
          <reference field="4294967294" count="1" selected="0">
            <x v="2"/>
          </reference>
          <reference field="1" count="1">
            <x v="22"/>
          </reference>
        </references>
      </pivotArea>
    </format>
    <format dxfId="349">
      <pivotArea collapsedLevelsAreSubtotals="1" fieldPosition="0">
        <references count="3">
          <reference field="4294967294" count="1" selected="0">
            <x v="2"/>
          </reference>
          <reference field="1" count="1">
            <x v="22"/>
          </reference>
          <reference field="2" count="1" selected="0">
            <x v="7"/>
          </reference>
        </references>
      </pivotArea>
    </format>
    <format dxfId="348">
      <pivotArea dataOnly="0" labelOnly="1" outline="0" fieldPosition="0">
        <references count="1">
          <reference field="4294967294" count="3">
            <x v="0"/>
            <x v="1"/>
            <x v="2"/>
          </reference>
        </references>
      </pivotArea>
    </format>
    <format dxfId="347">
      <pivotArea dataOnly="0" labelOnly="1" outline="0" fieldPosition="0">
        <references count="1">
          <reference field="4294967294" count="1">
            <x v="0"/>
          </reference>
        </references>
      </pivotArea>
    </format>
    <format dxfId="346">
      <pivotArea dataOnly="0" labelOnly="1" outline="0" fieldPosition="0">
        <references count="1">
          <reference field="4294967294" count="1">
            <x v="1"/>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2"/>
          </reference>
        </references>
      </pivotArea>
    </format>
    <format dxfId="343">
      <pivotArea dataOnly="0" labelOnly="1" fieldPosition="0">
        <references count="1">
          <reference field="2" count="0"/>
        </references>
      </pivotArea>
    </format>
    <format dxfId="342">
      <pivotArea collapsedLevelsAreSubtotals="1" fieldPosition="0">
        <references count="2">
          <reference field="4294967294" count="1" selected="0">
            <x v="2"/>
          </reference>
          <reference field="2" count="1">
            <x v="4"/>
          </reference>
        </references>
      </pivotArea>
    </format>
    <format dxfId="341">
      <pivotArea collapsedLevelsAreSubtotals="1" fieldPosition="0">
        <references count="2">
          <reference field="4294967294" count="1" selected="0">
            <x v="2"/>
          </reference>
          <reference field="2" count="1">
            <x v="9"/>
          </reference>
        </references>
      </pivotArea>
    </format>
    <format dxfId="340">
      <pivotArea collapsedLevelsAreSubtotals="1" fieldPosition="0">
        <references count="2">
          <reference field="4294967294" count="1" selected="0">
            <x v="2"/>
          </reference>
          <reference field="2" count="1">
            <x v="14"/>
          </reference>
        </references>
      </pivotArea>
    </format>
    <format dxfId="339">
      <pivotArea collapsedLevelsAreSubtotals="1" fieldPosition="0">
        <references count="3">
          <reference field="4294967294" count="1" selected="0">
            <x v="2"/>
          </reference>
          <reference field="1" count="3">
            <x v="3"/>
            <x v="37"/>
            <x v="41"/>
          </reference>
          <reference field="2" count="1" selected="0">
            <x v="14"/>
          </reference>
        </references>
      </pivotArea>
    </format>
    <format dxfId="338">
      <pivotArea collapsedLevelsAreSubtotals="1" fieldPosition="0">
        <references count="3">
          <reference field="4294967294" count="1" selected="0">
            <x v="2"/>
          </reference>
          <reference field="1" count="1">
            <x v="6"/>
          </reference>
          <reference field="2" count="1" selected="0">
            <x v="14"/>
          </reference>
        </references>
      </pivotArea>
    </format>
    <format dxfId="337">
      <pivotArea collapsedLevelsAreSubtotals="1" fieldPosition="0">
        <references count="3">
          <reference field="4294967294" count="1" selected="0">
            <x v="2"/>
          </reference>
          <reference field="1" count="1">
            <x v="27"/>
          </reference>
          <reference field="2" count="1" selected="0">
            <x v="14"/>
          </reference>
        </references>
      </pivotArea>
    </format>
    <format dxfId="336">
      <pivotArea collapsedLevelsAreSubtotals="1" fieldPosition="0">
        <references count="1">
          <reference field="2" count="1">
            <x v="0"/>
          </reference>
        </references>
      </pivotArea>
    </format>
    <format dxfId="335">
      <pivotArea collapsedLevelsAreSubtotals="1" fieldPosition="0">
        <references count="1">
          <reference field="2" count="1">
            <x v="14"/>
          </reference>
        </references>
      </pivotArea>
    </format>
    <format dxfId="334">
      <pivotArea collapsedLevelsAreSubtotals="1" fieldPosition="0">
        <references count="1">
          <reference field="2" count="1">
            <x v="9"/>
          </reference>
        </references>
      </pivotArea>
    </format>
    <format dxfId="333">
      <pivotArea collapsedLevelsAreSubtotals="1" fieldPosition="0">
        <references count="1">
          <reference field="2" count="1">
            <x v="5"/>
          </reference>
        </references>
      </pivotArea>
    </format>
    <format dxfId="332">
      <pivotArea collapsedLevelsAreSubtotals="1" fieldPosition="0">
        <references count="1">
          <reference field="2" count="1">
            <x v="17"/>
          </reference>
        </references>
      </pivotArea>
    </format>
    <format dxfId="331">
      <pivotArea collapsedLevelsAreSubtotals="1" fieldPosition="0">
        <references count="1">
          <reference field="2" count="1">
            <x v="2"/>
          </reference>
        </references>
      </pivotArea>
    </format>
    <format dxfId="330">
      <pivotArea collapsedLevelsAreSubtotals="1" fieldPosition="0">
        <references count="1">
          <reference field="2" count="1">
            <x v="10"/>
          </reference>
        </references>
      </pivotArea>
    </format>
    <format dxfId="329">
      <pivotArea collapsedLevelsAreSubtotals="1" fieldPosition="0">
        <references count="1">
          <reference field="2" count="1">
            <x v="1"/>
          </reference>
        </references>
      </pivotArea>
    </format>
    <format dxfId="328">
      <pivotArea collapsedLevelsAreSubtotals="1" fieldPosition="0">
        <references count="1">
          <reference field="2" count="1">
            <x v="13"/>
          </reference>
        </references>
      </pivotArea>
    </format>
    <format dxfId="327">
      <pivotArea collapsedLevelsAreSubtotals="1" fieldPosition="0">
        <references count="1">
          <reference field="2" count="1">
            <x v="4"/>
          </reference>
        </references>
      </pivotArea>
    </format>
    <format dxfId="326">
      <pivotArea collapsedLevelsAreSubtotals="1" fieldPosition="0">
        <references count="1">
          <reference field="2" count="1">
            <x v="8"/>
          </reference>
        </references>
      </pivotArea>
    </format>
    <format dxfId="325">
      <pivotArea collapsedLevelsAreSubtotals="1" fieldPosition="0">
        <references count="1">
          <reference field="2" count="1">
            <x v="3"/>
          </reference>
        </references>
      </pivotArea>
    </format>
    <format dxfId="324">
      <pivotArea collapsedLevelsAreSubtotals="1" fieldPosition="0">
        <references count="1">
          <reference field="2" count="1">
            <x v="12"/>
          </reference>
        </references>
      </pivotArea>
    </format>
    <format dxfId="323">
      <pivotArea collapsedLevelsAreSubtotals="1" fieldPosition="0">
        <references count="1">
          <reference field="2" count="1">
            <x v="6"/>
          </reference>
        </references>
      </pivotArea>
    </format>
    <format dxfId="322">
      <pivotArea collapsedLevelsAreSubtotals="1" fieldPosition="0">
        <references count="1">
          <reference field="2" count="1">
            <x v="11"/>
          </reference>
        </references>
      </pivotArea>
    </format>
    <format dxfId="321">
      <pivotArea collapsedLevelsAreSubtotals="1" fieldPosition="0">
        <references count="1">
          <reference field="2" count="1">
            <x v="20"/>
          </reference>
        </references>
      </pivotArea>
    </format>
    <format dxfId="320">
      <pivotArea collapsedLevelsAreSubtotals="1" fieldPosition="0">
        <references count="2">
          <reference field="1" count="1">
            <x v="6"/>
          </reference>
          <reference field="2" count="1" selected="0">
            <x v="20"/>
          </reference>
        </references>
      </pivotArea>
    </format>
    <format dxfId="319">
      <pivotArea collapsedLevelsAreSubtotals="1" fieldPosition="0">
        <references count="1">
          <reference field="2" count="1">
            <x v="7"/>
          </reference>
        </references>
      </pivotArea>
    </format>
    <format dxfId="318">
      <pivotArea collapsedLevelsAreSubtotals="1" fieldPosition="0">
        <references count="1">
          <reference field="2" count="1">
            <x v="16"/>
          </reference>
        </references>
      </pivotArea>
    </format>
    <format dxfId="317">
      <pivotArea collapsedLevelsAreSubtotals="1" fieldPosition="0">
        <references count="1">
          <reference field="2" count="1">
            <x v="19"/>
          </reference>
        </references>
      </pivotArea>
    </format>
    <format dxfId="316">
      <pivotArea collapsedLevelsAreSubtotals="1" fieldPosition="0">
        <references count="1">
          <reference field="2" count="1">
            <x v="18"/>
          </reference>
        </references>
      </pivotArea>
    </format>
    <format dxfId="315">
      <pivotArea collapsedLevelsAreSubtotals="1" fieldPosition="0">
        <references count="1">
          <reference field="2" count="1">
            <x v="15"/>
          </reference>
        </references>
      </pivotArea>
    </format>
    <format dxfId="314">
      <pivotArea collapsedLevelsAreSubtotals="1" fieldPosition="0">
        <references count="1">
          <reference field="2" count="1">
            <x v="21"/>
          </reference>
        </references>
      </pivotArea>
    </format>
    <format dxfId="313">
      <pivotArea collapsedLevelsAreSubtotals="1" fieldPosition="0">
        <references count="1">
          <reference field="2" count="1">
            <x v="22"/>
          </reference>
        </references>
      </pivotArea>
    </format>
    <format dxfId="312">
      <pivotArea collapsedLevelsAreSubtotals="1" fieldPosition="0">
        <references count="1">
          <reference field="2" count="1">
            <x v="23"/>
          </reference>
        </references>
      </pivotArea>
    </format>
    <format dxfId="311">
      <pivotArea collapsedLevelsAreSubtotals="1" fieldPosition="0">
        <references count="2">
          <reference field="4294967294" count="1" selected="0">
            <x v="2"/>
          </reference>
          <reference field="2" count="1">
            <x v="24"/>
          </reference>
        </references>
      </pivotArea>
    </format>
    <format dxfId="310">
      <pivotArea collapsedLevelsAreSubtotals="1" fieldPosition="0">
        <references count="2">
          <reference field="4294967294" count="1" selected="0">
            <x v="2"/>
          </reference>
          <reference field="2" count="1">
            <x v="25"/>
          </reference>
        </references>
      </pivotArea>
    </format>
    <format dxfId="309">
      <pivotArea collapsedLevelsAreSubtotals="1" fieldPosition="0">
        <references count="2">
          <reference field="4294967294" count="1" selected="0">
            <x v="2"/>
          </reference>
          <reference field="2" count="1">
            <x v="26"/>
          </reference>
        </references>
      </pivotArea>
    </format>
    <format dxfId="308">
      <pivotArea collapsedLevelsAreSubtotals="1" fieldPosition="0">
        <references count="2">
          <reference field="4294967294" count="1" selected="0">
            <x v="2"/>
          </reference>
          <reference field="2" count="1">
            <x v="27"/>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8"/>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9"/>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30"/>
          </reference>
        </references>
      </pivotArea>
    </format>
    <format dxfId="301">
      <pivotArea collapsedLevelsAreSubtotals="1" fieldPosition="0">
        <references count="2">
          <reference field="4294967294" count="1" selected="0">
            <x v="2"/>
          </reference>
          <reference field="2" count="1">
            <x v="31"/>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2"/>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3"/>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4"/>
          </reference>
        </references>
      </pivotArea>
    </format>
    <format dxfId="294">
      <pivotArea collapsedLevelsAreSubtotals="1" fieldPosition="0">
        <references count="2">
          <reference field="4294967294" count="1" selected="0">
            <x v="2"/>
          </reference>
          <reference field="2" count="1">
            <x v="35"/>
          </reference>
        </references>
      </pivotArea>
    </format>
    <format dxfId="293">
      <pivotArea collapsedLevelsAreSubtotals="1" fieldPosition="0">
        <references count="2">
          <reference field="4294967294" count="1" selected="0">
            <x v="2"/>
          </reference>
          <reference field="2" count="1">
            <x v="36"/>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8"/>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9"/>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40"/>
          </reference>
        </references>
      </pivotArea>
    </format>
    <format dxfId="286">
      <pivotArea collapsedLevelsAreSubtotals="1" fieldPosition="0">
        <references count="2">
          <reference field="4294967294" count="1" selected="0">
            <x v="2"/>
          </reference>
          <reference field="2" count="1">
            <x v="42"/>
          </reference>
        </references>
      </pivotArea>
    </format>
    <format dxfId="285">
      <pivotArea collapsedLevelsAreSubtotals="1" fieldPosition="0">
        <references count="2">
          <reference field="4294967294" count="1" selected="0">
            <x v="2"/>
          </reference>
          <reference field="2" count="1">
            <x v="41"/>
          </reference>
        </references>
      </pivotArea>
    </format>
    <format dxfId="284">
      <pivotArea collapsedLevelsAreSubtotals="1" fieldPosition="0">
        <references count="2">
          <reference field="4294967294" count="1" selected="0">
            <x v="2"/>
          </reference>
          <reference field="2" count="1">
            <x v="44"/>
          </reference>
        </references>
      </pivotArea>
    </format>
    <format dxfId="283">
      <pivotArea collapsedLevelsAreSubtotals="1" fieldPosition="0">
        <references count="2">
          <reference field="4294967294" count="1" selected="0">
            <x v="2"/>
          </reference>
          <reference field="2" count="1">
            <x v="45"/>
          </reference>
        </references>
      </pivotArea>
    </format>
    <format dxfId="282">
      <pivotArea collapsedLevelsAreSubtotals="1" fieldPosition="0">
        <references count="2">
          <reference field="4294967294" count="1" selected="0">
            <x v="2"/>
          </reference>
          <reference field="2" count="1">
            <x v="46"/>
          </reference>
        </references>
      </pivotArea>
    </format>
    <format dxfId="281">
      <pivotArea collapsedLevelsAreSubtotals="1" fieldPosition="0">
        <references count="2">
          <reference field="4294967294" count="1" selected="0">
            <x v="2"/>
          </reference>
          <reference field="2" count="1">
            <x v="47"/>
          </reference>
        </references>
      </pivotArea>
    </format>
    <format dxfId="280">
      <pivotArea collapsedLevelsAreSubtotals="1" fieldPosition="0">
        <references count="2">
          <reference field="4294967294" count="1" selected="0">
            <x v="2"/>
          </reference>
          <reference field="2" count="1">
            <x v="48"/>
          </reference>
        </references>
      </pivotArea>
    </format>
    <format dxfId="279">
      <pivotArea collapsedLevelsAreSubtotals="1" fieldPosition="0">
        <references count="2">
          <reference field="4294967294" count="1" selected="0">
            <x v="2"/>
          </reference>
          <reference field="2" count="1">
            <x v="49"/>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50"/>
          </reference>
        </references>
      </pivotArea>
    </format>
    <format dxfId="276">
      <pivotArea collapsedLevelsAreSubtotals="1" fieldPosition="0">
        <references count="3">
          <reference field="4294967294" count="1" selected="0">
            <x v="2"/>
          </reference>
          <reference field="1" count="1" selected="0">
            <x v="95"/>
          </reference>
          <reference field="2" count="1">
            <x v="51"/>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2">
          <reference field="4294967294" count="1" selected="0">
            <x v="2"/>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2"/>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3"/>
          </reference>
        </references>
      </pivotArea>
    </format>
    <format dxfId="269">
      <pivotArea collapsedLevelsAreSubtotals="1" fieldPosition="0">
        <references count="2">
          <reference field="4294967294" count="1" selected="0">
            <x v="2"/>
          </reference>
          <reference field="2" count="1">
            <x v="54"/>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5"/>
          </reference>
        </references>
      </pivotArea>
    </format>
    <format dxfId="266">
      <pivotArea collapsedLevelsAreSubtotals="1" fieldPosition="0">
        <references count="2">
          <reference field="4294967294" count="1" selected="0">
            <x v="2"/>
          </reference>
          <reference field="2" count="1">
            <x v="56"/>
          </reference>
        </references>
      </pivotArea>
    </format>
    <format dxfId="265">
      <pivotArea type="all" dataOnly="0" outline="0" fieldPosition="0"/>
    </format>
    <format dxfId="264">
      <pivotArea outline="0" collapsedLevelsAreSubtotals="1" fieldPosition="0"/>
    </format>
    <format dxfId="263">
      <pivotArea dataOnly="0" labelOnly="1" fieldPosition="0">
        <references count="1">
          <reference field="2" count="0"/>
        </references>
      </pivotArea>
    </format>
    <format dxfId="262">
      <pivotArea dataOnly="0" labelOnly="1" grandRow="1" outline="0" fieldPosition="0"/>
    </format>
    <format dxfId="261">
      <pivotArea dataOnly="0" labelOnly="1" outline="0" fieldPosition="0">
        <references count="1">
          <reference field="4294967294" count="3">
            <x v="0"/>
            <x v="1"/>
            <x v="2"/>
          </reference>
        </references>
      </pivotArea>
    </format>
    <format dxfId="260">
      <pivotArea collapsedLevelsAreSubtotals="1" fieldPosition="0">
        <references count="2">
          <reference field="4294967294" count="1" selected="0">
            <x v="2"/>
          </reference>
          <reference field="2" count="1">
            <x v="57"/>
          </reference>
        </references>
      </pivotArea>
    </format>
    <format dxfId="259">
      <pivotArea collapsedLevelsAreSubtotals="1" fieldPosition="0">
        <references count="2">
          <reference field="4294967294" count="1" selected="0">
            <x v="2"/>
          </reference>
          <reference field="2" count="1">
            <x v="53"/>
          </reference>
        </references>
      </pivotArea>
    </format>
    <format dxfId="258">
      <pivotArea collapsedLevelsAreSubtotals="1" fieldPosition="0">
        <references count="2">
          <reference field="4294967294" count="1" selected="0">
            <x v="2"/>
          </reference>
          <reference field="2" count="1">
            <x v="58"/>
          </reference>
        </references>
      </pivotArea>
    </format>
    <format dxfId="257">
      <pivotArea collapsedLevelsAreSubtotals="1" fieldPosition="0">
        <references count="2">
          <reference field="4294967294" count="1" selected="0">
            <x v="2"/>
          </reference>
          <reference field="2" count="1">
            <x v="37"/>
          </reference>
        </references>
      </pivotArea>
    </format>
    <format dxfId="256">
      <pivotArea collapsedLevelsAreSubtotals="1" fieldPosition="0">
        <references count="2">
          <reference field="4294967294" count="1" selected="0">
            <x v="2"/>
          </reference>
          <reference field="2" count="1">
            <x v="59"/>
          </reference>
        </references>
      </pivotArea>
    </format>
    <format dxfId="255">
      <pivotArea collapsedLevelsAreSubtotals="1" fieldPosition="0">
        <references count="2">
          <reference field="4294967294" count="1" selected="0">
            <x v="2"/>
          </reference>
          <reference field="2" count="1">
            <x v="64"/>
          </reference>
        </references>
      </pivotArea>
    </format>
    <format dxfId="254">
      <pivotArea collapsedLevelsAreSubtotals="1" fieldPosition="0">
        <references count="2">
          <reference field="4294967294" count="1" selected="0">
            <x v="2"/>
          </reference>
          <reference field="2" count="1">
            <x v="65"/>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63"/>
          </reference>
        </references>
      </pivotArea>
    </format>
    <format dxfId="249">
      <pivotArea collapsedLevelsAreSubtotals="1" fieldPosition="0">
        <references count="2">
          <reference field="4294967294" count="1" selected="0">
            <x v="2"/>
          </reference>
          <reference field="2" count="1">
            <x v="61"/>
          </reference>
        </references>
      </pivotArea>
    </format>
    <format dxfId="248">
      <pivotArea collapsedLevelsAreSubtotals="1" fieldPosition="0">
        <references count="2">
          <reference field="4294967294" count="1" selected="0">
            <x v="2"/>
          </reference>
          <reference field="2" count="1">
            <x v="62"/>
          </reference>
        </references>
      </pivotArea>
    </format>
    <format dxfId="247">
      <pivotArea collapsedLevelsAreSubtotals="1" fieldPosition="0">
        <references count="2">
          <reference field="4294967294" count="1" selected="0">
            <x v="2"/>
          </reference>
          <reference field="2" count="1">
            <x v="66"/>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7"/>
          </reference>
        </references>
      </pivotArea>
    </format>
    <format dxfId="244">
      <pivotArea collapsedLevelsAreSubtotals="1" fieldPosition="0">
        <references count="2">
          <reference field="4294967294" count="1" selected="0">
            <x v="2"/>
          </reference>
          <reference field="2" count="1">
            <x v="68"/>
          </reference>
        </references>
      </pivotArea>
    </format>
    <format dxfId="243">
      <pivotArea collapsedLevelsAreSubtotals="1" fieldPosition="0">
        <references count="2">
          <reference field="4294967294" count="1" selected="0">
            <x v="2"/>
          </reference>
          <reference field="2" count="1">
            <x v="71"/>
          </reference>
        </references>
      </pivotArea>
    </format>
    <format dxfId="242">
      <pivotArea collapsedLevelsAreSubtotals="1" fieldPosition="0">
        <references count="2">
          <reference field="4294967294" count="1" selected="0">
            <x v="2"/>
          </reference>
          <reference field="2" count="1">
            <x v="72"/>
          </reference>
        </references>
      </pivotArea>
    </format>
    <format dxfId="241">
      <pivotArea collapsedLevelsAreSubtotals="1" fieldPosition="0">
        <references count="2">
          <reference field="4294967294" count="1" selected="0">
            <x v="2"/>
          </reference>
          <reference field="2" count="1">
            <x v="60"/>
          </reference>
        </references>
      </pivotArea>
    </format>
    <format dxfId="240">
      <pivotArea collapsedLevelsAreSubtotals="1" fieldPosition="0">
        <references count="2">
          <reference field="4294967294" count="1" selected="0">
            <x v="2"/>
          </reference>
          <reference field="2" count="1">
            <x v="70"/>
          </reference>
        </references>
      </pivotArea>
    </format>
    <format dxfId="239">
      <pivotArea collapsedLevelsAreSubtotals="1" fieldPosition="0">
        <references count="2">
          <reference field="4294967294" count="1" selected="0">
            <x v="2"/>
          </reference>
          <reference field="2" count="1">
            <x v="73"/>
          </reference>
        </references>
      </pivotArea>
    </format>
    <format dxfId="238">
      <pivotArea collapsedLevelsAreSubtotals="1" fieldPosition="0">
        <references count="2">
          <reference field="4294967294" count="1" selected="0">
            <x v="2"/>
          </reference>
          <reference field="2" count="1">
            <x v="74"/>
          </reference>
        </references>
      </pivotArea>
    </format>
    <format dxfId="237">
      <pivotArea collapsedLevelsAreSubtotals="1" fieldPosition="0">
        <references count="2">
          <reference field="4294967294" count="1" selected="0">
            <x v="2"/>
          </reference>
          <reference field="2" count="1">
            <x v="75"/>
          </reference>
        </references>
      </pivotArea>
    </format>
    <format dxfId="236">
      <pivotArea collapsedLevelsAreSubtotals="1" fieldPosition="0">
        <references count="2">
          <reference field="4294967294" count="1" selected="0">
            <x v="2"/>
          </reference>
          <reference field="2" count="1">
            <x v="76"/>
          </reference>
        </references>
      </pivotArea>
    </format>
    <format dxfId="235">
      <pivotArea collapsedLevelsAreSubtotals="1" fieldPosition="0">
        <references count="2">
          <reference field="4294967294" count="1" selected="0">
            <x v="2"/>
          </reference>
          <reference field="2" count="1">
            <x v="77"/>
          </reference>
        </references>
      </pivotArea>
    </format>
    <format dxfId="234">
      <pivotArea collapsedLevelsAreSubtotals="1" fieldPosition="0">
        <references count="2">
          <reference field="4294967294" count="1" selected="0">
            <x v="2"/>
          </reference>
          <reference field="2" count="1">
            <x v="78"/>
          </reference>
        </references>
      </pivotArea>
    </format>
    <format dxfId="233">
      <pivotArea collapsedLevelsAreSubtotals="1" fieldPosition="0">
        <references count="2">
          <reference field="4294967294" count="1" selected="0">
            <x v="2"/>
          </reference>
          <reference field="2" count="1">
            <x v="79"/>
          </reference>
        </references>
      </pivotArea>
    </format>
    <format dxfId="232">
      <pivotArea collapsedLevelsAreSubtotals="1" fieldPosition="0">
        <references count="2">
          <reference field="4294967294" count="1" selected="0">
            <x v="2"/>
          </reference>
          <reference field="2" count="1">
            <x v="80"/>
          </reference>
        </references>
      </pivotArea>
    </format>
    <format dxfId="231">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67">
        <item x="249"/>
        <item m="1" x="2528"/>
        <item m="1" x="2489"/>
        <item m="1" x="2513"/>
        <item m="1" x="2515"/>
        <item m="1" x="2549"/>
        <item m="1" x="2540"/>
        <item m="1" x="2546"/>
        <item m="1" x="2471"/>
        <item m="1" x="2553"/>
        <item m="1" x="2511"/>
        <item m="1" x="2554"/>
        <item m="1" x="2524"/>
        <item m="1" x="2557"/>
        <item m="1" x="2487"/>
        <item m="1" x="2485"/>
        <item m="1" x="2470"/>
        <item m="1" x="2497"/>
        <item m="1" x="2561"/>
        <item m="1" x="2527"/>
        <item m="1" x="2529"/>
        <item m="1" x="2531"/>
        <item m="1" x="2541"/>
        <item m="1" x="2503"/>
        <item m="1" x="2539"/>
        <item m="1" x="2516"/>
        <item m="1" x="2523"/>
        <item m="1" x="2544"/>
        <item m="1" x="2479"/>
        <item m="1" x="2519"/>
        <item m="1" x="2542"/>
        <item m="1" x="2484"/>
        <item m="1" x="2558"/>
        <item m="1" x="2550"/>
        <item m="1" x="2562"/>
        <item m="1" x="2500"/>
        <item m="1" x="2526"/>
        <item m="1" x="2559"/>
        <item x="0"/>
        <item m="1" x="2505"/>
        <item m="1" x="2565"/>
        <item m="1" x="2494"/>
        <item x="1"/>
        <item m="1" x="2522"/>
        <item m="1" x="2480"/>
        <item x="2"/>
        <item x="3"/>
        <item m="1" x="2563"/>
        <item m="1" x="2510"/>
        <item m="1" x="2506"/>
        <item m="1" x="2534"/>
        <item m="1" x="2495"/>
        <item m="1" x="2547"/>
        <item x="4"/>
        <item m="1" x="2517"/>
        <item x="5"/>
        <item x="6"/>
        <item m="1" x="247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98"/>
        <item x="157"/>
        <item x="158"/>
        <item x="159"/>
        <item x="160"/>
        <item x="161"/>
        <item x="162"/>
        <item x="163"/>
        <item x="164"/>
        <item x="165"/>
        <item x="166"/>
        <item x="167"/>
        <item x="168"/>
        <item x="169"/>
        <item m="1" x="249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3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2"/>
        <item x="276"/>
        <item x="277"/>
        <item x="278"/>
        <item x="275"/>
        <item m="1" x="2545"/>
        <item x="279"/>
        <item x="280"/>
        <item x="281"/>
        <item x="282"/>
        <item x="283"/>
        <item x="284"/>
        <item x="285"/>
        <item x="286"/>
        <item x="287"/>
        <item x="288"/>
        <item x="289"/>
        <item x="290"/>
        <item x="291"/>
        <item x="292"/>
        <item x="293"/>
        <item x="294"/>
        <item x="295"/>
        <item x="296"/>
        <item m="1" x="2530"/>
        <item x="297"/>
        <item x="298"/>
        <item x="299"/>
        <item m="1" x="2474"/>
        <item x="300"/>
        <item x="302"/>
        <item x="303"/>
        <item x="301"/>
        <item x="304"/>
        <item x="305"/>
        <item x="306"/>
        <item x="307"/>
        <item x="308"/>
        <item x="309"/>
        <item x="310"/>
        <item x="311"/>
        <item x="312"/>
        <item m="1" x="2552"/>
        <item x="313"/>
        <item m="1" x="2475"/>
        <item x="314"/>
        <item x="315"/>
        <item x="316"/>
        <item x="317"/>
        <item x="318"/>
        <item x="319"/>
        <item x="320"/>
        <item x="321"/>
        <item m="1" x="2478"/>
        <item x="323"/>
        <item x="324"/>
        <item x="325"/>
        <item x="326"/>
        <item x="322"/>
        <item x="327"/>
        <item x="328"/>
        <item x="329"/>
        <item x="330"/>
        <item x="331"/>
        <item m="1" x="2490"/>
        <item x="332"/>
        <item m="1" x="2514"/>
        <item x="333"/>
        <item x="334"/>
        <item x="335"/>
        <item x="336"/>
        <item x="337"/>
        <item x="338"/>
        <item x="344"/>
        <item m="1" x="24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4"/>
        <item x="375"/>
        <item x="376"/>
        <item x="373"/>
        <item x="377"/>
        <item x="378"/>
        <item x="379"/>
        <item x="380"/>
        <item m="1" x="2491"/>
        <item x="381"/>
        <item x="382"/>
        <item x="383"/>
        <item x="384"/>
        <item x="385"/>
        <item x="386"/>
        <item x="387"/>
        <item x="388"/>
        <item x="389"/>
        <item x="390"/>
        <item x="391"/>
        <item x="392"/>
        <item x="393"/>
        <item x="394"/>
        <item x="395"/>
        <item x="396"/>
        <item x="397"/>
        <item x="399"/>
        <item x="400"/>
        <item x="401"/>
        <item x="398"/>
        <item x="402"/>
        <item m="1" x="2551"/>
        <item x="403"/>
        <item x="404"/>
        <item x="405"/>
        <item x="406"/>
        <item x="407"/>
        <item x="408"/>
        <item x="409"/>
        <item m="1" x="2533"/>
        <item x="410"/>
        <item x="411"/>
        <item x="421"/>
        <item x="412"/>
        <item x="413"/>
        <item x="414"/>
        <item x="415"/>
        <item x="416"/>
        <item x="417"/>
        <item m="1" x="2536"/>
        <item x="418"/>
        <item x="419"/>
        <item x="420"/>
        <item x="423"/>
        <item x="443"/>
        <item x="424"/>
        <item x="422"/>
        <item x="425"/>
        <item x="426"/>
        <item x="427"/>
        <item x="428"/>
        <item x="429"/>
        <item x="430"/>
        <item x="431"/>
        <item x="432"/>
        <item m="1" x="2521"/>
        <item x="433"/>
        <item x="434"/>
        <item x="435"/>
        <item x="436"/>
        <item x="438"/>
        <item x="437"/>
        <item x="439"/>
        <item x="440"/>
        <item x="442"/>
        <item x="441"/>
        <item x="445"/>
        <item x="446"/>
        <item x="447"/>
        <item x="444"/>
        <item x="448"/>
        <item x="449"/>
        <item x="450"/>
        <item x="451"/>
        <item x="452"/>
        <item x="453"/>
        <item x="454"/>
        <item x="455"/>
        <item x="456"/>
        <item x="457"/>
        <item m="1" x="2556"/>
        <item x="458"/>
        <item x="459"/>
        <item m="1" x="2486"/>
        <item x="460"/>
        <item x="461"/>
        <item x="462"/>
        <item x="463"/>
        <item m="1" x="2537"/>
        <item x="464"/>
        <item x="465"/>
        <item x="466"/>
        <item x="467"/>
        <item x="468"/>
        <item x="469"/>
        <item x="470"/>
        <item m="1" x="2532"/>
        <item x="471"/>
        <item x="472"/>
        <item x="473"/>
        <item x="474"/>
        <item x="475"/>
        <item x="476"/>
        <item x="477"/>
        <item x="478"/>
        <item x="479"/>
        <item x="480"/>
        <item x="481"/>
        <item x="482"/>
        <item x="483"/>
        <item x="484"/>
        <item m="1" x="2512"/>
        <item x="490"/>
        <item x="485"/>
        <item x="486"/>
        <item x="487"/>
        <item x="488"/>
        <item x="489"/>
        <item x="491"/>
        <item x="492"/>
        <item m="1" x="2502"/>
        <item m="1" x="2507"/>
        <item x="503"/>
        <item m="1" x="2525"/>
        <item x="493"/>
        <item x="494"/>
        <item x="504"/>
        <item x="495"/>
        <item x="496"/>
        <item x="497"/>
        <item x="498"/>
        <item x="499"/>
        <item x="500"/>
        <item x="501"/>
        <item x="502"/>
        <item x="505"/>
        <item x="506"/>
        <item x="507"/>
        <item x="508"/>
        <item m="1" x="254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48"/>
        <item x="564"/>
        <item x="565"/>
        <item x="566"/>
        <item x="567"/>
        <item x="568"/>
        <item x="569"/>
        <item x="570"/>
        <item x="571"/>
        <item x="572"/>
        <item x="573"/>
        <item x="574"/>
        <item m="1" x="24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18"/>
        <item x="698"/>
        <item x="708"/>
        <item x="709"/>
        <item x="710"/>
        <item x="699"/>
        <item x="700"/>
        <item x="701"/>
        <item x="702"/>
        <item x="703"/>
        <item x="704"/>
        <item x="705"/>
        <item x="706"/>
        <item x="707"/>
        <item x="711"/>
        <item x="726"/>
        <item x="727"/>
        <item x="734"/>
        <item x="712"/>
        <item x="728"/>
        <item x="729"/>
        <item m="1" x="247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3"/>
        <item x="753"/>
        <item m="1" x="2501"/>
        <item x="740"/>
        <item x="754"/>
        <item x="741"/>
        <item x="742"/>
        <item x="743"/>
        <item x="744"/>
        <item x="745"/>
        <item x="746"/>
        <item x="747"/>
        <item x="755"/>
        <item x="748"/>
        <item x="757"/>
        <item x="758"/>
        <item x="769"/>
        <item x="759"/>
        <item m="1" x="2555"/>
        <item x="760"/>
        <item x="761"/>
        <item x="770"/>
        <item m="1" x="2508"/>
        <item x="762"/>
        <item x="771"/>
        <item x="763"/>
        <item x="764"/>
        <item x="765"/>
        <item x="766"/>
        <item x="772"/>
        <item x="773"/>
        <item x="767"/>
        <item x="768"/>
        <item x="774"/>
        <item x="775"/>
        <item x="790"/>
        <item x="776"/>
        <item x="791"/>
        <item x="777"/>
        <item x="778"/>
        <item x="792"/>
        <item x="779"/>
        <item x="780"/>
        <item x="781"/>
        <item x="782"/>
        <item x="793"/>
        <item x="783"/>
        <item x="794"/>
        <item x="795"/>
        <item x="246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0"/>
        <item x="944"/>
        <item m="1" x="25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8"/>
        <item x="1583"/>
        <item x="1577"/>
        <item x="1578"/>
        <item x="1576"/>
        <item x="1579"/>
        <item x="1580"/>
        <item x="1586"/>
        <item x="1587"/>
        <item x="1581"/>
        <item x="1582"/>
        <item x="1588"/>
        <item x="1589"/>
        <item x="1590"/>
        <item x="1602"/>
        <item x="1612"/>
        <item m="1" x="247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8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t="default"/>
      </items>
    </pivotField>
    <pivotField axis="axisRow" showAll="0">
      <items count="301">
        <item sd="0" x="43"/>
        <item sd="0" x="46"/>
        <item sd="0" x="45"/>
        <item sd="0" x="35"/>
        <item sd="0" m="1" x="181"/>
        <item sd="0" x="44"/>
        <item sd="0" m="1" x="236"/>
        <item sd="0" m="1" x="219"/>
        <item sd="0" x="42"/>
        <item sd="0" x="41"/>
        <item sd="0" x="40"/>
        <item sd="0" x="39"/>
        <item sd="0" x="38"/>
        <item sd="0" x="37"/>
        <item sd="0" x="20"/>
        <item sd="0" x="36"/>
        <item sd="0" m="1" x="191"/>
        <item sd="0" x="15"/>
        <item sd="0" x="18"/>
        <item n="JPMC (Main Project)" sd="0" x="11"/>
        <item sd="0" x="32"/>
        <item sd="0" x="31"/>
        <item sd="0" x="33"/>
        <item sd="0" x="34"/>
        <item sd="0" x="27"/>
        <item sd="0" x="30"/>
        <item sd="0" x="29"/>
        <item sd="0" x="26"/>
        <item sd="0" x="24"/>
        <item sd="0" x="25"/>
        <item sd="0" x="0"/>
        <item sd="0" x="19"/>
        <item sd="0" x="22"/>
        <item sd="0" x="23"/>
        <item sd="0" m="1" x="170"/>
        <item sd="0" x="21"/>
        <item sd="0" m="1" x="185"/>
        <item sd="0" m="1" x="199"/>
        <item sd="0" m="1" x="242"/>
        <item sd="0" x="8"/>
        <item sd="0" x="9"/>
        <item sd="0" m="1" x="263"/>
        <item sd="0" m="1" x="215"/>
        <item sd="0" m="1" x="294"/>
        <item sd="0" m="1" x="158"/>
        <item sd="0" m="1" x="299"/>
        <item sd="0" m="1" x="239"/>
        <item sd="0" x="13"/>
        <item sd="0" m="1" x="285"/>
        <item sd="0" m="1" x="295"/>
        <item sd="0" m="1" x="298"/>
        <item sd="0" m="1" x="218"/>
        <item sd="0" m="1" x="205"/>
        <item sd="0" m="1" x="287"/>
        <item sd="0" m="1" x="222"/>
        <item sd="0" m="1" x="169"/>
        <item sd="0" m="1" x="224"/>
        <item sd="0" m="1" x="221"/>
        <item sd="0" m="1" x="235"/>
        <item sd="0" m="1" x="214"/>
        <item sd="0" x="17"/>
        <item sd="0" m="1" x="246"/>
        <item sd="0" m="1" x="225"/>
        <item sd="0" m="1" x="160"/>
        <item sd="0" x="14"/>
        <item sd="0" m="1" x="154"/>
        <item sd="0" x="86"/>
        <item sd="0" m="1" x="194"/>
        <item sd="0" m="1" x="184"/>
        <item sd="0" m="1" x="269"/>
        <item sd="0" m="1" x="230"/>
        <item sd="0" m="1" x="217"/>
        <item sd="0" m="1" x="281"/>
        <item sd="0" m="1" x="254"/>
        <item sd="0" m="1" x="226"/>
        <item sd="0" m="1" x="193"/>
        <item sd="0" m="1" x="212"/>
        <item sd="0" m="1" x="255"/>
        <item sd="0" m="1" x="165"/>
        <item sd="0" x="10"/>
        <item sd="0" m="1" x="293"/>
        <item sd="0" x="1"/>
        <item sd="0" m="1" x="260"/>
        <item sd="0" m="1" x="150"/>
        <item sd="0" m="1" x="258"/>
        <item sd="0" m="1" x="204"/>
        <item sd="0" m="1" x="284"/>
        <item sd="0" m="1" x="227"/>
        <item sd="0" m="1" x="200"/>
        <item sd="0" m="1" x="196"/>
        <item sd="0" m="1" x="238"/>
        <item sd="0" m="1" x="270"/>
        <item sd="0" m="1" x="162"/>
        <item sd="0" m="1" x="198"/>
        <item sd="0" m="1" x="163"/>
        <item sd="0" x="3"/>
        <item sd="0" m="1" x="272"/>
        <item sd="0" x="7"/>
        <item sd="0" m="1" x="292"/>
        <item sd="0" x="2"/>
        <item sd="0" m="1" x="159"/>
        <item sd="0" m="1" x="155"/>
        <item sd="0" x="12"/>
        <item sd="0" x="5"/>
        <item sd="0" m="1" x="183"/>
        <item sd="0" x="4"/>
        <item sd="0" m="1" x="188"/>
        <item sd="0" m="1" x="180"/>
        <item sd="0" m="1" x="249"/>
        <item sd="0" m="1" x="152"/>
        <item sd="0" x="116"/>
        <item sd="0" m="1" x="210"/>
        <item sd="0" m="1" x="265"/>
        <item sd="0" m="1" x="168"/>
        <item sd="0" m="1" x="189"/>
        <item sd="0" m="1" x="268"/>
        <item sd="0" x="6"/>
        <item sd="0" m="1" x="173"/>
        <item sd="0" m="1" x="175"/>
        <item sd="0" m="1" x="253"/>
        <item sd="0" m="1" x="248"/>
        <item sd="0" m="1" x="271"/>
        <item sd="0" x="16"/>
        <item sd="0" m="1" x="153"/>
        <item sd="0" m="1" x="177"/>
        <item sd="0" m="1" x="245"/>
        <item sd="0" m="1" x="283"/>
        <item sd="0" m="1" x="192"/>
        <item m="1" x="250"/>
        <item sd="0" m="1" x="291"/>
        <item sd="0" m="1" x="190"/>
        <item sd="0" m="1" x="257"/>
        <item sd="0" m="1" x="195"/>
        <item sd="0" m="1" x="274"/>
        <item sd="0" x="28"/>
        <item sd="0" m="1" x="229"/>
        <item sd="0" m="1" x="282"/>
        <item sd="0" m="1" x="277"/>
        <item sd="0" m="1" x="267"/>
        <item m="1" x="252"/>
        <item sd="0" m="1" x="208"/>
        <item sd="0" m="1" x="278"/>
        <item sd="0" m="1" x="262"/>
        <item m="1" x="203"/>
        <item sd="0" m="1" x="176"/>
        <item m="1" x="202"/>
        <item m="1" x="156"/>
        <item m="1" x="297"/>
        <item x="47"/>
        <item x="48"/>
        <item x="49"/>
        <item m="1" x="209"/>
        <item x="51"/>
        <item x="52"/>
        <item x="50"/>
        <item x="53"/>
        <item x="54"/>
        <item x="55"/>
        <item x="56"/>
        <item x="57"/>
        <item m="1" x="206"/>
        <item x="59"/>
        <item x="58"/>
        <item x="60"/>
        <item x="63"/>
        <item x="61"/>
        <item x="62"/>
        <item x="64"/>
        <item m="1" x="174"/>
        <item m="1" x="286"/>
        <item x="65"/>
        <item x="67"/>
        <item x="66"/>
        <item x="68"/>
        <item x="69"/>
        <item x="70"/>
        <item x="71"/>
        <item m="1" x="256"/>
        <item m="1" x="232"/>
        <item x="72"/>
        <item x="75"/>
        <item x="73"/>
        <item x="76"/>
        <item m="1" x="166"/>
        <item m="1" x="161"/>
        <item x="78"/>
        <item x="74"/>
        <item m="1" x="288"/>
        <item m="1" x="171"/>
        <item x="80"/>
        <item m="1" x="279"/>
        <item m="1" x="213"/>
        <item m="1" x="247"/>
        <item x="77"/>
        <item m="1" x="223"/>
        <item x="81"/>
        <item x="82"/>
        <item x="83"/>
        <item m="1" x="207"/>
        <item m="1" x="275"/>
        <item x="84"/>
        <item m="1" x="259"/>
        <item x="79"/>
        <item x="145"/>
        <item m="1" x="220"/>
        <item x="85"/>
        <item m="1" x="243"/>
        <item x="87"/>
        <item m="1" x="296"/>
        <item x="88"/>
        <item x="89"/>
        <item x="90"/>
        <item m="1" x="182"/>
        <item m="1" x="234"/>
        <item x="91"/>
        <item x="92"/>
        <item m="1" x="164"/>
        <item m="1" x="228"/>
        <item m="1" x="187"/>
        <item x="93"/>
        <item m="1" x="251"/>
        <item m="1" x="290"/>
        <item x="96"/>
        <item m="1" x="186"/>
        <item x="95"/>
        <item m="1" x="264"/>
        <item m="1" x="201"/>
        <item x="98"/>
        <item x="99"/>
        <item m="1" x="240"/>
        <item x="100"/>
        <item m="1" x="211"/>
        <item x="101"/>
        <item x="97"/>
        <item x="94"/>
        <item x="104"/>
        <item x="102"/>
        <item x="107"/>
        <item m="1" x="179"/>
        <item x="105"/>
        <item x="106"/>
        <item x="108"/>
        <item x="110"/>
        <item x="111"/>
        <item m="1" x="178"/>
        <item x="112"/>
        <item x="113"/>
        <item x="115"/>
        <item x="114"/>
        <item x="103"/>
        <item m="1" x="231"/>
        <item x="121"/>
        <item m="1" x="273"/>
        <item x="122"/>
        <item x="123"/>
        <item x="117"/>
        <item x="124"/>
        <item x="118"/>
        <item x="125"/>
        <item m="1" x="266"/>
        <item x="119"/>
        <item m="1" x="289"/>
        <item x="109"/>
        <item x="120"/>
        <item m="1" x="197"/>
        <item x="126"/>
        <item m="1" x="157"/>
        <item m="1" x="244"/>
        <item m="1" x="167"/>
        <item x="129"/>
        <item x="130"/>
        <item x="131"/>
        <item x="132"/>
        <item x="127"/>
        <item m="1" x="151"/>
        <item x="134"/>
        <item x="135"/>
        <item m="1" x="216"/>
        <item m="1" x="276"/>
        <item m="1" x="261"/>
        <item x="128"/>
        <item x="139"/>
        <item x="138"/>
        <item m="1" x="233"/>
        <item x="137"/>
        <item m="1" x="280"/>
        <item x="140"/>
        <item m="1" x="241"/>
        <item x="149"/>
        <item x="136"/>
        <item x="133"/>
        <item x="141"/>
        <item x="142"/>
        <item x="143"/>
        <item m="1" x="172"/>
        <item m="1" x="237"/>
        <item x="144"/>
        <item x="146"/>
        <item x="147"/>
        <item x="148"/>
        <item t="default"/>
      </items>
    </pivotField>
    <pivotField axis="axisRow" showAll="0" sortType="ascending">
      <items count="1205">
        <item h="1" sd="0" x="60"/>
        <item h="1" sd="0" x="149"/>
        <item h="1" x="755"/>
        <item h="1" sd="0" m="1" x="969"/>
        <item h="1" sd="0" x="724"/>
        <item h="1" sd="0" m="1" x="1044"/>
        <item h="1" sd="0" x="572"/>
        <item h="1" sd="0" m="1" x="1144"/>
        <item h="1" sd="0" m="1" x="982"/>
        <item h="1" sd="0" x="464"/>
        <item h="1" sd="0" m="1" x="1004"/>
        <item h="1" x="921"/>
        <item h="1" x="928"/>
        <item h="1" x="756"/>
        <item h="1" sd="0" x="18"/>
        <item h="1" sd="0" x="288"/>
        <item h="1" sd="0" m="1" x="1186"/>
        <item h="1" sd="0" x="146"/>
        <item h="1" sd="0" x="179"/>
        <item h="1" sd="0" x="490"/>
        <item h="1" sd="0" x="673"/>
        <item h="1" sd="0" m="1" x="1183"/>
        <item h="1" sd="0" x="641"/>
        <item h="1" sd="0" x="623"/>
        <item h="1" x="805"/>
        <item h="1" sd="0" x="100"/>
        <item h="1" sd="0" x="606"/>
        <item h="1" sd="0" m="1" x="988"/>
        <item h="1" sd="0" m="1" x="1148"/>
        <item h="1" x="871"/>
        <item h="1" sd="0" x="137"/>
        <item h="1" x="907"/>
        <item h="1" sd="0" m="1" x="1130"/>
        <item h="1" sd="0" x="231"/>
        <item h="1" sd="0" m="1" x="958"/>
        <item sd="0" x="758"/>
        <item h="1" x="830"/>
        <item h="1" sd="0" m="1" x="1135"/>
        <item h="1" sd="0" m="1" x="1021"/>
        <item h="1" sd="0" x="363"/>
        <item h="1" sd="0" x="510"/>
        <item h="1" m="1" x="943"/>
        <item h="1" x="878"/>
        <item sd="0" x="563"/>
        <item h="1" sd="0" x="651"/>
        <item h="1" x="735"/>
        <item h="1" sd="0" x="375"/>
        <item h="1" sd="0" x="379"/>
        <item h="1" sd="0" m="1" x="1018"/>
        <item h="1" sd="0" x="718"/>
        <item h="1" x="924"/>
        <item h="1" sd="0" m="1" x="995"/>
        <item h="1" sd="0" m="1" x="1051"/>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4"/>
        <item h="1" sd="0" x="325"/>
        <item h="1" sd="0" x="481"/>
        <item h="1" sd="0" m="1" x="1187"/>
        <item h="1" sd="0" m="1" x="1082"/>
        <item h="1" sd="0" x="528"/>
        <item h="1" sd="0" x="630"/>
        <item h="1" sd="0" x="223"/>
        <item h="1" sd="0" m="1" x="971"/>
        <item h="1" x="856"/>
        <item h="1" sd="0" x="239"/>
        <item h="1" sd="0" x="521"/>
        <item h="1" sd="0" x="135"/>
        <item h="1" sd="0" x="140"/>
        <item h="1" sd="0" x="479"/>
        <item h="1" sd="0" m="1" x="1159"/>
        <item h="1" sd="0" m="1" x="1088"/>
        <item h="1" sd="0" x="219"/>
        <item h="1" sd="0" m="1" x="1199"/>
        <item h="1" x="906"/>
        <item h="1" x="859"/>
        <item h="1" sd="0" x="562"/>
        <item h="1" x="743"/>
        <item h="1" x="760"/>
        <item h="1" sd="0" x="711"/>
        <item h="1" sd="0" x="683"/>
        <item h="1" x="799"/>
        <item h="1" sd="0" x="93"/>
        <item h="1" sd="0" m="1" x="1156"/>
        <item h="1" sd="0" x="399"/>
        <item h="1" sd="0" x="222"/>
        <item h="1" sd="0" m="1" x="984"/>
        <item h="1" sd="0" x="337"/>
        <item h="1" sd="0" x="207"/>
        <item h="1" sd="0" x="517"/>
        <item h="1" sd="0" x="489"/>
        <item h="1" sd="0" x="184"/>
        <item h="1" x="920"/>
        <item h="1" sd="0" x="152"/>
        <item h="1" sd="0" m="1" x="1170"/>
        <item h="1" sd="0" x="40"/>
        <item h="1" sd="0" x="281"/>
        <item h="1" sd="0" x="170"/>
        <item h="1" x="797"/>
        <item h="1" sd="0" x="317"/>
        <item h="1" sd="0" x="358"/>
        <item h="1" sd="0" x="214"/>
        <item h="1" sd="0" x="370"/>
        <item h="1" sd="0" x="378"/>
        <item h="1" sd="0" x="279"/>
        <item h="1" sd="0" m="1" x="1022"/>
        <item h="1" sd="0" x="156"/>
        <item h="1" sd="0" x="700"/>
        <item h="1" sd="0" x="639"/>
        <item h="1" sd="0" x="253"/>
        <item h="1" sd="0" m="1" x="1145"/>
        <item h="1" sd="0" x="442"/>
        <item h="1" sd="0" m="1" x="947"/>
        <item h="1" sd="0" x="409"/>
        <item h="1" sd="0" x="365"/>
        <item h="1" sd="0" m="1" x="1003"/>
        <item h="1" sd="0" m="1" x="966"/>
        <item sd="0" x="666"/>
        <item h="1" sd="0" x="556"/>
        <item h="1" sd="0" x="383"/>
        <item h="1" x="890"/>
        <item h="1" sd="0" x="259"/>
        <item h="1" sd="0" x="463"/>
        <item h="1" sd="0" x="252"/>
        <item h="1" x="898"/>
        <item h="1" sd="0" x="643"/>
        <item h="1" sd="0" x="537"/>
        <item h="1" sd="0" m="1" x="1087"/>
        <item h="1" sd="0" x="577"/>
        <item h="1" x="926"/>
        <item h="1" x="869"/>
        <item h="1" sd="0" x="597"/>
        <item h="1" sd="0" x="12"/>
        <item h="1" sd="0" x="571"/>
        <item h="1" sd="0" m="1" x="1158"/>
        <item h="1" sd="0" x="569"/>
        <item h="1" sd="0" x="352"/>
        <item h="1" sd="0" x="218"/>
        <item h="1" x="810"/>
        <item h="1" sd="0" x="371"/>
        <item h="1" sd="0" x="224"/>
        <item h="1" sd="0" x="63"/>
        <item h="1" sd="0" x="8"/>
        <item h="1" sd="0" x="102"/>
        <item h="1" sd="0" m="1" x="989"/>
        <item h="1" sd="0" m="1" x="1189"/>
        <item h="1" sd="0" x="550"/>
        <item h="1" sd="0" x="319"/>
        <item h="1" sd="0" m="1" x="994"/>
        <item h="1" sd="0" m="1" x="1200"/>
        <item h="1" m="1" x="1096"/>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5"/>
        <item h="1" sd="0" m="1" x="967"/>
        <item h="1" sd="0" m="1" x="1175"/>
        <item h="1" sd="0" x="668"/>
        <item h="1" x="762"/>
        <item h="1" x="841"/>
        <item h="1" sd="0" x="681"/>
        <item h="1" sd="0" x="685"/>
        <item h="1" x="850"/>
        <item h="1" sd="0" x="46"/>
        <item h="1" sd="0" x="374"/>
        <item h="1" sd="0" m="1" x="977"/>
        <item h="1" sd="0" x="423"/>
        <item h="1" sd="0" x="574"/>
        <item h="1" sd="0" x="367"/>
        <item h="1" sd="0" x="270"/>
        <item h="1" sd="0" m="1" x="1063"/>
        <item h="1" sd="0" m="1" x="1024"/>
        <item h="1" sd="0" x="427"/>
        <item h="1" sd="0" x="411"/>
        <item h="1" sd="0" x="465"/>
        <item h="1" sd="0" m="1" x="1064"/>
        <item h="1" sd="0" m="1" x="1042"/>
        <item h="1" sd="0" m="1" x="1155"/>
        <item h="1" sd="0" m="1" x="1098"/>
        <item h="1" sd="0" m="1" x="1059"/>
        <item h="1" sd="0" x="366"/>
        <item h="1" x="873"/>
        <item h="1" sd="0" x="437"/>
        <item h="1" x="897"/>
        <item h="1" sd="0" x="506"/>
        <item h="1" sd="0" x="632"/>
        <item h="1" sd="0" m="1" x="1073"/>
        <item h="1" sd="0" x="567"/>
        <item h="1" sd="0" x="665"/>
        <item h="1" x="848"/>
        <item h="1" x="791"/>
        <item h="1" sd="0" x="534"/>
        <item h="1" sd="0" x="456"/>
        <item h="1" sd="0" x="318"/>
        <item h="1" x="851"/>
        <item h="1" sd="0" m="1" x="1017"/>
        <item h="1" x="794"/>
        <item h="1" sd="0" x="697"/>
        <item h="1" x="893"/>
        <item h="1" sd="0" x="312"/>
        <item h="1" sd="0" x="273"/>
        <item h="1" sd="0" x="428"/>
        <item h="1" sd="0" x="519"/>
        <item h="1" sd="0" m="1" x="1120"/>
        <item h="1" sd="0" x="396"/>
        <item h="1" x="751"/>
        <item h="1" sd="0" x="605"/>
        <item h="1" x="876"/>
        <item h="1" sd="0" x="402"/>
        <item h="1" sd="0" x="710"/>
        <item h="1" x="877"/>
        <item h="1" x="870"/>
        <item h="1" sd="0" x="201"/>
        <item h="1" sd="0" m="1" x="1046"/>
        <item h="1" x="777"/>
        <item h="1" sd="0" x="160"/>
        <item h="1" sd="0" x="443"/>
        <item h="1" sd="0" m="1" x="1152"/>
        <item h="1" x="934"/>
        <item h="1" x="862"/>
        <item h="1" sd="0" m="1" x="1112"/>
        <item h="1" sd="0" m="1" x="1002"/>
        <item h="1" x="746"/>
        <item h="1" x="821"/>
        <item h="1" sd="0" x="451"/>
        <item h="1" sd="0" x="538"/>
        <item h="1" sd="0" x="414"/>
        <item h="1" sd="0" x="413"/>
        <item h="1" sd="0" x="277"/>
        <item h="1" sd="0" x="467"/>
        <item h="1" sd="0" m="1" x="1106"/>
        <item h="1" sd="0" x="225"/>
        <item h="1" sd="0" m="1" x="973"/>
        <item h="1" sd="0" m="1" x="976"/>
        <item h="1" sd="0" x="522"/>
        <item h="1" x="812"/>
        <item h="1" sd="0" x="468"/>
        <item h="1" sd="0" x="539"/>
        <item h="1" x="798"/>
        <item h="1" sd="0" x="633"/>
        <item h="1" sd="0" m="1" x="987"/>
        <item h="1" sd="0" x="292"/>
        <item h="1" sd="0" x="15"/>
        <item h="1" sd="0" m="1" x="1015"/>
        <item h="1" sd="0" m="1" x="1031"/>
        <item h="1" sd="0" x="662"/>
        <item h="1" sd="0" x="0"/>
        <item h="1" sd="0" x="232"/>
        <item h="1" sd="0" x="679"/>
        <item h="1" sd="0" x="213"/>
        <item h="1" sd="0" m="1" x="1154"/>
        <item h="1" sd="0" x="316"/>
        <item h="1" x="925"/>
        <item h="1" x="863"/>
        <item h="1" x="749"/>
        <item h="1" sd="0" x="702"/>
        <item h="1" x="845"/>
        <item h="1" sd="0" x="513"/>
        <item h="1" sd="0" x="436"/>
        <item h="1" sd="0" x="449"/>
        <item h="1" sd="0" m="1" x="957"/>
        <item h="1" sd="0" x="291"/>
        <item h="1" x="738"/>
        <item h="1" sd="0" x="391"/>
        <item h="1" sd="0" x="333"/>
        <item h="1" x="888"/>
        <item h="1" x="787"/>
        <item h="1" x="742"/>
        <item sd="0" x="339"/>
        <item h="1" x="929"/>
        <item h="1" x="881"/>
        <item h="1" sd="0" x="275"/>
        <item h="1" sd="0" m="1" x="990"/>
        <item sd="0" x="174"/>
        <item h="1" sd="0" x="171"/>
        <item h="1" sd="0" x="233"/>
        <item h="1" sd="0" x="78"/>
        <item h="1" x="936"/>
        <item h="1" sd="0" m="1" x="1052"/>
        <item h="1" sd="0" x="236"/>
        <item h="1" sd="0" x="58"/>
        <item h="1" sd="0" m="1" x="1123"/>
        <item h="1" sd="0" x="474"/>
        <item h="1" sd="0" x="511"/>
        <item h="1" sd="0" x="408"/>
        <item h="1" x="806"/>
        <item h="1" sd="0" x="587"/>
        <item h="1" sd="0" x="240"/>
        <item h="1" sd="0" m="1" x="983"/>
        <item h="1" sd="0" x="182"/>
        <item h="1" x="800"/>
        <item h="1" sd="0" x="307"/>
        <item h="1" sd="0" x="779"/>
        <item h="1" x="820"/>
        <item h="1" sd="0" x="648"/>
        <item h="1" x="774"/>
        <item h="1" sd="0" x="290"/>
        <item h="1" sd="0" m="1" x="1079"/>
        <item h="1" sd="0" m="1" x="1141"/>
        <item h="1" sd="0" x="636"/>
        <item h="1" sd="0" x="499"/>
        <item h="1" sd="0" x="447"/>
        <item h="1" sd="0" x="132"/>
        <item h="1" x="931"/>
        <item h="1" sd="0" x="56"/>
        <item h="1" sd="0" x="126"/>
        <item h="1" sd="0" x="22"/>
        <item h="1" sd="0" x="187"/>
        <item h="1" sd="0" m="1" x="963"/>
        <item h="1" sd="0" m="1" x="1173"/>
        <item h="1" sd="0" m="1" x="970"/>
        <item h="1" sd="0" x="11"/>
        <item h="1" sd="0" x="670"/>
        <item h="1" sd="0" x="353"/>
        <item h="1" sd="0" x="542"/>
        <item h="1" sd="0" m="1" x="1058"/>
        <item h="1" sd="0" x="124"/>
        <item h="1" sd="0" x="646"/>
        <item h="1" sd="0" m="1" x="1203"/>
        <item h="1" sd="0" x="77"/>
        <item h="1" sd="0" m="1" x="1083"/>
        <item h="1" sd="0" x="435"/>
        <item h="1" sd="0" x="92"/>
        <item h="1" sd="0" x="35"/>
        <item h="1" sd="0" x="196"/>
        <item h="1" sd="0" m="1" x="1182"/>
        <item h="1" sd="0" x="1"/>
        <item h="1" sd="0" x="180"/>
        <item h="1" sd="0" x="430"/>
        <item h="1" sd="0" x="285"/>
        <item h="1" x="747"/>
        <item h="1" sd="0" x="581"/>
        <item h="1" sd="0" m="1" x="1101"/>
        <item h="1" sd="0" x="42"/>
        <item h="1" sd="0" x="469"/>
        <item h="1" sd="0" x="440"/>
        <item h="1" sd="0" m="1" x="1122"/>
        <item h="1" sd="0" m="1" x="1091"/>
        <item h="1" sd="0" m="1" x="1109"/>
        <item h="1" sd="0" m="1" x="1040"/>
        <item h="1" sd="0" x="84"/>
        <item h="1" sd="0" x="106"/>
        <item h="1" sd="0" x="727"/>
        <item h="1" sd="0" m="1" x="946"/>
        <item h="1" sd="0" x="526"/>
        <item h="1" sd="0" x="592"/>
        <item h="1" sd="0" x="484"/>
        <item h="1" sd="0" x="336"/>
        <item h="1" sd="0" x="659"/>
        <item h="1" x="879"/>
        <item h="1" sd="0" x="669"/>
        <item h="1" sd="0" m="1" x="1115"/>
        <item h="1" sd="0" x="560"/>
        <item h="1" sd="0" x="714"/>
        <item sd="0" x="709"/>
        <item h="1" x="789"/>
        <item sd="0" x="599"/>
        <item h="1" sd="0" m="1" x="949"/>
        <item h="1" sd="0" m="1" x="941"/>
        <item h="1" sd="0" m="1" x="1102"/>
        <item h="1" sd="0" m="1" x="979"/>
        <item h="1" sd="0" x="515"/>
        <item h="1" sd="0" x="715"/>
        <item h="1" sd="0" x="677"/>
        <item h="1" x="808"/>
        <item h="1" sd="0" x="698"/>
        <item h="1" sd="0" m="1" x="1132"/>
        <item h="1" x="780"/>
        <item h="1" x="796"/>
        <item h="1" sd="0" m="1" x="980"/>
        <item h="1" sd="0" x="16"/>
        <item h="1" sd="0" m="1" x="1068"/>
        <item h="1" sd="0" x="407"/>
        <item h="1" sd="0" x="603"/>
        <item h="1" sd="0" m="1" x="1111"/>
        <item h="1" sd="0" m="1" x="1020"/>
        <item h="1" sd="0" x="280"/>
        <item h="1" sd="0" x="104"/>
        <item h="1" sd="0" x="332"/>
        <item h="1" sd="0" m="1" x="1045"/>
        <item h="1" sd="0" x="348"/>
        <item h="1" sd="0" x="23"/>
        <item sd="0" x="693"/>
        <item h="1" sd="0" m="1" x="997"/>
        <item h="1" x="9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3"/>
        <item h="1" sd="0" m="1" x="1169"/>
        <item h="1" x="838"/>
        <item h="1" sd="0" x="87"/>
        <item h="1" sd="0" x="501"/>
        <item h="1" sd="0" x="690"/>
        <item h="1" sd="0" x="450"/>
        <item h="1" sd="0" x="33"/>
        <item h="1" x="814"/>
        <item h="1" sd="0" x="19"/>
        <item h="1" sd="0" x="389"/>
        <item h="1" x="831"/>
        <item h="1" sd="0" m="1" x="951"/>
        <item h="1" sd="0" x="403"/>
        <item h="1" sd="0" x="20"/>
        <item h="1" sd="0" m="1" x="964"/>
        <item h="1" sd="0" x="584"/>
        <item h="1" sd="0" x="96"/>
        <item h="1" sd="0" x="555"/>
        <item h="1" sd="0" x="438"/>
        <item h="1" sd="0" m="1" x="992"/>
        <item h="1" sd="0" m="1" x="1185"/>
        <item h="1" sd="0" m="1" x="1162"/>
        <item h="1" sd="0" m="1" x="1033"/>
        <item h="1" sd="0" x="588"/>
        <item h="1" sd="0" x="120"/>
        <item h="1" m="1" x="945"/>
        <item h="1" sd="0" x="590"/>
        <item h="1" sd="0" x="131"/>
        <item h="1" sd="0" x="119"/>
        <item h="1" sd="0" m="1" x="1113"/>
        <item h="1" sd="0" m="1" x="1077"/>
        <item h="1" sd="0" m="1" x="1104"/>
        <item h="1" sd="0" m="1" x="962"/>
        <item h="1" sd="0" m="1" x="1089"/>
        <item h="1" sd="0" x="228"/>
        <item h="1" sd="0" x="39"/>
        <item h="1" sd="0" x="619"/>
        <item h="1" sd="0" x="108"/>
        <item h="1" sd="0" x="24"/>
        <item h="1" x="729"/>
        <item h="1" sd="0" x="139"/>
        <item h="1" sd="0" x="393"/>
        <item h="1" sd="0" m="1" x="1172"/>
        <item h="1" sd="0" x="613"/>
        <item h="1" sd="0" x="17"/>
        <item h="1" x="884"/>
        <item h="1" x="887"/>
        <item h="1" sd="0" x="461"/>
        <item h="1" x="741"/>
        <item h="1" x="793"/>
        <item h="1" x="768"/>
        <item h="1" x="913"/>
        <item h="1" sd="0" x="441"/>
        <item h="1" sd="0" x="248"/>
        <item h="1" sd="0" x="48"/>
        <item h="1" sd="0" m="1" x="1085"/>
        <item h="1" sd="0" m="1" x="1146"/>
        <item h="1" x="874"/>
        <item h="1" sd="0" x="134"/>
        <item h="1" sd="0" x="596"/>
        <item h="1" sd="0" m="1" x="1055"/>
        <item h="1" sd="0" x="69"/>
        <item h="1" x="527"/>
        <item h="1" x="827"/>
        <item h="1" x="882"/>
        <item h="1" sd="0" x="654"/>
        <item h="1" sd="0" m="1" x="1119"/>
        <item h="1" sd="0" x="34"/>
        <item h="1" sd="0" x="206"/>
        <item h="1" sd="0" m="1" x="1188"/>
        <item h="1" sd="0" m="1" x="1061"/>
        <item h="1" sd="0" m="1" x="1080"/>
        <item h="1" sd="0" m="1" x="1019"/>
        <item h="1" x="783"/>
        <item h="1" sd="0" x="268"/>
        <item h="1" sd="0" x="376"/>
        <item h="1" sd="0" x="331"/>
        <item h="1" sd="0" m="1" x="1011"/>
        <item h="1" x="817"/>
        <item h="1" sd="0" x="360"/>
        <item h="1" sd="0" m="1" x="1164"/>
        <item h="1" sd="0" x="89"/>
        <item h="1" sd="0" x="355"/>
        <item sd="0" x="642"/>
        <item h="1" sd="0" m="1" x="1060"/>
        <item h="1" sd="0" x="168"/>
        <item h="1" sd="0" m="1" x="952"/>
        <item h="1" sd="0" m="1" x="942"/>
        <item h="1" sd="0" x="473"/>
        <item h="1" x="836"/>
        <item h="1" x="834"/>
        <item h="1" sd="0" x="272"/>
        <item h="1" sd="0" x="523"/>
        <item h="1" sd="0" x="51"/>
        <item h="1" sd="0" x="190"/>
        <item h="1" sd="0" x="625"/>
        <item h="1" sd="0" x="50"/>
        <item h="1" x="815"/>
        <item h="1" x="864"/>
        <item h="1" sd="0" x="79"/>
        <item h="1" sd="0" x="32"/>
        <item h="1" sd="0" m="1" x="1149"/>
        <item h="1" sd="0" x="667"/>
        <item h="1" sd="0" x="188"/>
        <item h="1" m="1" x="1163"/>
        <item h="1" x="764"/>
        <item h="1" sd="0" x="110"/>
        <item h="1" sd="0" x="935"/>
        <item h="1" m="1" x="968"/>
        <item h="1" sd="0" m="1" x="1167"/>
        <item h="1" sd="0" m="1" x="1072"/>
        <item h="1" sd="0" m="1" x="1013"/>
        <item h="1" sd="0" m="1" x="1067"/>
        <item h="1" sd="0" m="1" x="1036"/>
        <item h="1" sd="0" x="226"/>
        <item h="1" sd="0" x="57"/>
        <item h="1" sd="0" m="1" x="1070"/>
        <item h="1" sd="0" x="530"/>
        <item h="1" sd="0" x="554"/>
        <item h="1" x="733"/>
        <item h="1" sd="0" x="340"/>
        <item h="1" sd="0" x="604"/>
        <item h="1" sd="0" x="265"/>
        <item h="1" sd="0" x="448"/>
        <item h="1" sd="0" x="628"/>
        <item h="1" x="922"/>
        <item h="1" sd="0" m="1" x="1107"/>
        <item h="1" sd="0" x="294"/>
        <item h="1" sd="0" m="1" x="1095"/>
        <item h="1" sd="0" x="585"/>
        <item h="1" x="914"/>
        <item h="1" sd="0" x="583"/>
        <item h="1" sd="0" x="62"/>
        <item h="1" sd="0" x="295"/>
        <item h="1" sd="0" x="3"/>
        <item h="1" sd="0" x="151"/>
        <item h="1" sd="0" x="415"/>
        <item h="1" sd="0" x="503"/>
        <item h="1" sd="0" x="210"/>
        <item h="1" x="852"/>
        <item h="1" sd="0" x="54"/>
        <item h="1" sd="0" m="1" x="1127"/>
        <item h="1" sd="0" m="1" x="1110"/>
        <item h="1" sd="0" x="387"/>
        <item h="1" sd="0" m="1" x="965"/>
        <item h="1" sd="0" x="323"/>
        <item h="1" x="923"/>
        <item h="1" sd="0" x="713"/>
        <item h="1" x="846"/>
        <item h="1" sd="0" x="678"/>
        <item h="1" sd="0" m="1" x="1000"/>
        <item h="1" sd="0" x="75"/>
        <item h="1" sd="0" x="476"/>
        <item h="1" sd="0" m="1" x="948"/>
        <item h="1" sd="0" m="1" x="1029"/>
        <item h="1" sd="0" x="186"/>
        <item h="1" x="861"/>
        <item h="1" sd="0" x="486"/>
        <item h="1" sd="0" x="674"/>
        <item h="1" sd="0" x="429"/>
        <item h="1" sd="0" x="361"/>
        <item h="1" sd="0" x="368"/>
        <item h="1" x="826"/>
        <item h="1" m="1" x="1030"/>
        <item h="1" x="813"/>
        <item sd="0" x="721"/>
        <item sd="0" x="766"/>
        <item h="1" sd="0" x="327"/>
        <item h="1" sd="0" x="195"/>
        <item h="1" sd="0" x="687"/>
        <item h="1" x="918"/>
        <item h="1" x="773"/>
        <item h="1" sd="0" x="566"/>
        <item h="1" sd="0" m="1" x="1100"/>
        <item h="1" sd="0" m="1" x="1140"/>
        <item h="1" sd="0" x="123"/>
        <item h="1" sd="0" x="497"/>
        <item h="1" x="835"/>
        <item sd="0" x="719"/>
        <item h="1" sd="0" m="1" x="1026"/>
        <item h="1" sd="0" x="194"/>
        <item h="1" sd="0" x="557"/>
        <item h="1" sd="0" x="663"/>
        <item h="1" sd="0" x="121"/>
        <item h="1" x="771"/>
        <item h="1" sd="0" x="53"/>
        <item h="1" x="842"/>
        <item h="1" sd="0" x="472"/>
        <item h="1" sd="0" x="549"/>
        <item h="1" sd="0" x="565"/>
        <item h="1" sd="0" m="1" x="1157"/>
        <item h="1" m="1" x="1081"/>
        <item h="1" sd="0" x="278"/>
        <item h="1" x="750"/>
        <item h="1" x="840"/>
        <item h="1" sd="0" x="212"/>
        <item h="1" sd="0" m="1" x="1037"/>
        <item h="1" sd="0" m="1" x="1142"/>
        <item h="1" sd="0" m="1" x="1133"/>
        <item h="1" sd="0" x="631"/>
        <item h="1" x="867"/>
        <item h="1" x="857"/>
        <item h="1" sd="0" m="1" x="1201"/>
        <item h="1" sd="0" m="1" x="981"/>
        <item h="1" sd="0" x="675"/>
        <item h="1" sd="0" m="1" x="1195"/>
        <item h="1" sd="0" x="691"/>
        <item h="1" sd="0" x="117"/>
        <item h="1" sd="0" x="111"/>
        <item h="1" x="790"/>
        <item h="1" sd="0" x="671"/>
        <item h="1" sd="0" x="502"/>
        <item h="1" sd="0" x="417"/>
        <item h="1" sd="0" x="81"/>
        <item h="1" sd="0" x="7"/>
        <item h="1" sd="0" x="235"/>
        <item h="1" x="872"/>
        <item h="1" sd="0" x="434"/>
        <item h="1" sd="0" x="287"/>
        <item h="1" sd="0" m="1" x="1131"/>
        <item h="1" sd="0" m="1" x="1179"/>
        <item h="1" sd="0" x="491"/>
        <item h="1" sd="0" x="722"/>
        <item h="1" sd="0" x="2"/>
        <item h="1" sd="0" x="637"/>
        <item h="1" sd="0" m="1" x="1194"/>
        <item h="1" sd="0" m="1" x="1050"/>
        <item h="1" sd="0" x="692"/>
        <item h="1" x="823"/>
        <item h="1" sd="0" x="536"/>
        <item h="1" x="839"/>
        <item h="1" x="811"/>
        <item h="1" sd="0" x="163"/>
        <item h="1" sd="0" x="431"/>
        <item h="1" sd="0" m="1" x="1125"/>
        <item h="1" sd="0" x="650"/>
        <item h="1" sd="0" x="680"/>
        <item h="1" sd="0" x="478"/>
        <item h="1" sd="0" x="602"/>
        <item h="1" x="837"/>
        <item h="1" sd="0" m="1" x="1008"/>
        <item h="1" sd="0" x="445"/>
        <item h="1" sd="0" m="1" x="993"/>
        <item h="1" x="892"/>
        <item h="1" sd="0" m="1" x="1202"/>
        <item h="1" sd="0" m="1" x="959"/>
        <item h="1" sd="0" m="1" x="956"/>
        <item h="1" sd="0" x="130"/>
        <item h="1" sd="0" x="88"/>
        <item h="1" sd="0" m="1" x="1197"/>
        <item h="1" sd="0" x="204"/>
        <item h="1" sd="0" x="72"/>
        <item h="1" sd="0" x="73"/>
        <item h="1" sd="0" x="28"/>
        <item h="1" sd="0" x="47"/>
        <item h="1" sd="0" x="181"/>
        <item h="1" sd="0" x="26"/>
        <item h="1" sd="0" x="86"/>
        <item h="1" sd="0" x="230"/>
        <item h="1" x="819"/>
        <item h="1" sd="0" m="1" x="1069"/>
        <item h="1" sd="0" m="1" x="1049"/>
        <item h="1" x="736"/>
        <item h="1" sd="0" m="1" x="108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5"/>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7"/>
        <item h="1" sd="0" x="359"/>
        <item h="1" sd="0" m="1" x="1192"/>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80"/>
        <item h="1" sd="0" m="1" x="950"/>
        <item h="1" sd="0" x="4"/>
        <item h="1" sd="0" x="377"/>
        <item h="1" x="802"/>
        <item h="1" sd="0" x="262"/>
        <item h="1" sd="0" x="454"/>
        <item h="1" sd="0" x="326"/>
        <item h="1" sd="0" x="173"/>
        <item h="1" sd="0" x="200"/>
        <item h="1" x="803"/>
        <item h="1" x="894"/>
        <item h="1" x="782"/>
        <item h="1" sd="0" m="1" x="991"/>
        <item h="1" sd="0" x="725"/>
        <item h="1" x="792"/>
        <item h="1" sd="0" x="495"/>
        <item h="1" x="865"/>
        <item h="1" sd="0" x="345"/>
        <item h="1" sd="0" x="717"/>
        <item h="1" sd="0" x="568"/>
        <item h="1" sd="0" x="640"/>
        <item h="1" sd="0" x="482"/>
        <item h="1" sd="0" x="726"/>
        <item h="1" sd="0" x="30"/>
        <item h="1" sd="0" m="1" x="1128"/>
        <item h="1" x="909"/>
        <item h="1" sd="0" x="242"/>
        <item h="1" sd="0" x="591"/>
        <item h="1" sd="0" x="645"/>
        <item h="1" sd="0" m="1" x="1057"/>
        <item h="1" sd="0" m="1" x="960"/>
        <item h="1" x="917"/>
        <item h="1" sd="0" x="694"/>
        <item h="1" sd="0" x="470"/>
        <item h="1" x="844"/>
        <item h="1" x="868"/>
        <item h="1" x="885"/>
        <item h="1" sd="0" x="243"/>
        <item h="1" sd="0" m="1" x="1174"/>
        <item h="1" sd="0" x="622"/>
        <item h="1" sd="0" x="398"/>
        <item h="1" sd="0" m="1" x="1001"/>
        <item h="1" sd="0" m="1" x="1177"/>
        <item h="1" sd="0" m="1" x="1075"/>
        <item h="1" sd="0" x="551"/>
        <item h="1" m="1" x="1062"/>
        <item h="1" sd="0" x="303"/>
        <item h="1" sd="0" x="532"/>
        <item h="1" sd="0" x="37"/>
        <item h="1" sd="0" x="357"/>
        <item h="1" x="818"/>
        <item h="1" sd="0" x="487"/>
        <item h="1" sd="0" x="658"/>
        <item h="1" sd="0" x="686"/>
        <item h="1" sd="0" x="512"/>
        <item h="1" x="778"/>
        <item h="1" sd="0" m="1" x="1071"/>
        <item h="1" sd="0" m="1" x="1121"/>
        <item h="1" x="822"/>
        <item h="1" sd="0" x="115"/>
        <item h="1" sd="0" m="1" x="1171"/>
        <item h="1" sd="0" m="1" x="972"/>
        <item h="1" sd="0" x="324"/>
        <item sd="0" x="518"/>
        <item h="1" sd="0" m="1" x="1038"/>
        <item h="1" sd="0" x="128"/>
        <item h="1" sd="0" x="520"/>
        <item h="1" sd="0" m="1" x="1178"/>
        <item h="1" sd="0" m="1" x="1153"/>
        <item h="1" sd="0" x="255"/>
        <item h="1" sd="0" x="199"/>
        <item h="1" sd="0" x="329"/>
        <item h="1" sd="0" x="297"/>
        <item h="1" sd="0" x="310"/>
        <item h="1" x="740"/>
        <item h="1" sd="0" x="83"/>
        <item h="1" sd="0" m="1" x="1076"/>
        <item h="1" sd="0" x="600"/>
        <item h="1" sd="0" m="1" x="954"/>
        <item h="1" sd="0" x="80"/>
        <item h="1" sd="0" m="1" x="1025"/>
        <item h="1" sd="0" m="1" x="1168"/>
        <item h="1" sd="0" x="97"/>
        <item h="1" sd="0" x="564"/>
        <item h="1" sd="0" x="289"/>
        <item h="1" x="932"/>
        <item h="1" sd="0" m="1" x="1116"/>
        <item h="1" sd="0" x="116"/>
        <item h="1" sd="0" x="209"/>
        <item h="1" sd="0" x="452"/>
        <item h="1" sd="0" x="684"/>
        <item h="1" sd="0" x="198"/>
        <item h="1" x="911"/>
        <item h="1" x="896"/>
        <item h="1" sd="0" x="401"/>
        <item h="1" sd="0" x="656"/>
        <item h="1" sd="0" x="150"/>
        <item h="1" sd="0" x="136"/>
        <item h="1" sd="0" m="1" x="1056"/>
        <item h="1" sd="0" x="676"/>
        <item h="1" sd="0" m="1" x="985"/>
        <item h="1" sd="0" x="109"/>
        <item h="1" sd="0" x="397"/>
        <item sd="0" x="664"/>
        <item h="1" sd="0" x="498"/>
        <item h="1" sd="0" x="706"/>
        <item h="1" sd="0" x="649"/>
        <item h="1" sd="0" x="514"/>
        <item h="1" sd="0" x="558"/>
        <item h="1" sd="0" x="524"/>
        <item h="1" sd="0" m="1" x="1034"/>
        <item h="1" x="899"/>
        <item h="1" x="854"/>
        <item h="1" x="832"/>
        <item h="1" sd="0" x="660"/>
        <item h="1" sd="0" m="1" x="1137"/>
        <item h="1" x="334"/>
        <item sd="0" x="757"/>
        <item h="1" sd="0" x="728"/>
        <item h="1" sd="0" x="284"/>
        <item h="1" sd="0" x="296"/>
        <item h="1" sd="0" x="211"/>
        <item h="1" sd="0" x="582"/>
        <item h="1" sd="0" x="45"/>
        <item h="1" sd="0" m="1" x="1117"/>
        <item h="1" x="853"/>
        <item h="1" x="939"/>
        <item h="1" sd="0" m="1" x="1108"/>
        <item h="1" sd="0" x="507"/>
        <item h="1" sd="0" x="155"/>
        <item h="1" sd="0" m="1" x="1138"/>
        <item h="1" sd="0" x="61"/>
        <item h="1" sd="0" x="129"/>
        <item h="1" sd="0" x="105"/>
        <item h="1" sd="0" x="614"/>
        <item h="1" m="1" x="1032"/>
        <item sd="0" x="716"/>
        <item h="1" sd="0" m="1" x="978"/>
        <item h="1" sd="0" x="157"/>
        <item h="1" sd="0" x="14"/>
        <item h="1" sd="0" x="43"/>
        <item h="1" sd="0" x="250"/>
        <item h="1" sd="0" x="238"/>
        <item h="1" sd="0" x="103"/>
        <item h="1" sd="0" x="385"/>
        <item h="1" sd="0" x="70"/>
        <item h="1" sd="0" x="299"/>
        <item h="1" sd="0" x="127"/>
        <item h="1" sd="0" m="1" x="944"/>
        <item h="1" sd="0" x="193"/>
        <item h="1" x="824"/>
        <item h="1" sd="0" x="147"/>
        <item h="1" sd="0" x="933"/>
        <item h="1" sd="0" x="548"/>
        <item h="1" sd="0" m="1" x="1092"/>
        <item h="1" sd="0" x="610"/>
        <item h="1" sd="0" x="405"/>
        <item sd="0" x="748"/>
        <item h="1" sd="0" x="875"/>
        <item h="1" m="1" x="1005"/>
        <item h="1" x="594"/>
        <item h="1" sd="0" x="99"/>
        <item h="1" sd="0" x="344"/>
        <item h="1" sd="0" x="541"/>
        <item h="1" x="883"/>
        <item h="1" sd="0" x="689"/>
        <item h="1" m="1" x="1054"/>
        <item h="1" sd="0" x="612"/>
        <item h="1" x="905"/>
        <item h="1" sd="0" x="221"/>
        <item h="1" sd="0" x="607"/>
        <item h="1" sd="0" m="1" x="1191"/>
        <item h="1" sd="0" m="1" x="1196"/>
        <item h="1" sd="0" x="271"/>
        <item h="1" sd="0" m="1" x="1103"/>
        <item h="1" sd="0" x="166"/>
        <item h="1" sd="0" x="286"/>
        <item sd="0" x="611"/>
        <item h="1" sd="0" x="531"/>
        <item h="1" sd="0" x="621"/>
        <item h="1" sd="0" x="304"/>
        <item h="1" sd="0" m="1" x="1065"/>
        <item h="1" sd="0" x="458"/>
        <item h="1" sd="0" x="439"/>
        <item h="1" sd="0" x="543"/>
        <item h="1" sd="0" x="609"/>
        <item h="1" sd="0" x="138"/>
        <item h="1" sd="0" x="41"/>
        <item h="1" sd="0" x="229"/>
        <item h="1" sd="0" x="420"/>
        <item h="1" sd="0" m="1" x="1124"/>
        <item h="1" sd="0" x="617"/>
        <item h="1" sd="0" x="71"/>
        <item h="1" sd="0" x="64"/>
        <item h="1" sd="0" x="492"/>
        <item h="1" sd="0" m="1" x="1047"/>
        <item h="1" sd="0" m="1" x="1041"/>
        <item h="1" x="866"/>
        <item h="1" x="731"/>
        <item h="1" sd="0" x="432"/>
        <item h="1" x="745"/>
        <item h="1" sd="0" x="540"/>
        <item h="1" sd="0" x="455"/>
        <item h="1" sd="0" x="44"/>
        <item h="1" sd="0" x="114"/>
        <item h="1" sd="0" x="52"/>
        <item h="1" sd="0" x="142"/>
        <item h="1" sd="0" x="579"/>
        <item h="1" sd="0" x="82"/>
        <item h="1" sd="0" x="245"/>
        <item h="1" sd="0" x="457"/>
        <item h="1" sd="0" x="314"/>
        <item h="1" sd="0" m="1" x="1165"/>
        <item h="1" sd="0" x="373"/>
        <item h="1" sd="0" m="1" x="1134"/>
        <item h="1" x="767"/>
        <item h="1" sd="0" x="720"/>
        <item h="1" x="927"/>
        <item h="1" sd="0" x="418"/>
        <item h="1" sd="0" x="308"/>
        <item h="1" sd="0" m="1" x="1093"/>
        <item h="1" sd="0" m="1" x="1161"/>
        <item h="1" sd="0" x="122"/>
        <item h="1" sd="0" x="118"/>
        <item h="1" x="908"/>
        <item h="1" sd="0" x="661"/>
        <item h="1" x="915"/>
        <item h="1" sd="0" m="1" x="1114"/>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099"/>
        <item h="1" sd="0" x="652"/>
        <item h="1" sd="0" x="647"/>
        <item h="1" sd="0" x="608"/>
        <item h="1" x="855"/>
        <item h="1" sd="0" x="328"/>
        <item h="1" sd="0" x="350"/>
        <item h="1" sd="0" x="254"/>
        <item h="1" sd="0" x="320"/>
        <item h="1" sd="0" x="620"/>
        <item h="1" x="816"/>
        <item h="1" sd="0" x="241"/>
        <item h="1" sd="0" x="158"/>
        <item h="1" sd="0" m="1" x="1090"/>
        <item h="1" sd="0" x="475"/>
        <item h="1" x="781"/>
        <item h="1" sd="0" x="416"/>
        <item h="1" sd="0" m="1" x="1053"/>
        <item h="1" sd="0" m="1" x="1147"/>
        <item h="1" sd="0" m="1" x="955"/>
        <item h="1" sd="0" x="529"/>
        <item h="1" sd="0" m="1" x="996"/>
        <item h="1" sd="0" x="657"/>
        <item h="1" x="739"/>
        <item h="1" sd="0" m="1" x="1009"/>
        <item h="1" sd="0" x="143"/>
        <item h="1" sd="0" m="1" x="1023"/>
        <item h="1" sd="0" m="1" x="1151"/>
        <item h="1" sd="0" x="276"/>
        <item h="1" sd="0" x="298"/>
        <item h="1" sd="0" x="424"/>
        <item h="1" sd="0" x="696"/>
        <item h="1" sd="0" x="346"/>
        <item h="1" sd="0" x="485"/>
        <item h="1" sd="0" x="306"/>
        <item h="1" sd="0" x="561"/>
        <item h="1" sd="0" m="1" x="1176"/>
        <item h="1" sd="0" x="321"/>
        <item h="1" sd="0" x="313"/>
        <item h="1" sd="0" x="49"/>
        <item h="1" sd="0" x="384"/>
        <item h="1" x="833"/>
        <item h="1" sd="0" x="315"/>
        <item h="1" x="919"/>
        <item h="1" sd="0" x="466"/>
        <item h="1" sd="0" x="59"/>
        <item h="1" sd="0" x="183"/>
        <item h="1" sd="0" x="707"/>
        <item h="1" sd="0" x="330"/>
        <item h="1" sd="0" x="573"/>
        <item h="1" sd="0" x="274"/>
        <item h="1" sd="0" x="730"/>
        <item h="1" sd="0" m="1" x="953"/>
        <item h="1" sd="0" x="638"/>
        <item h="1" sd="0" x="504"/>
        <item h="1" sd="0" x="311"/>
        <item h="1" sd="0" x="249"/>
        <item h="1" sd="0" m="1" x="986"/>
        <item h="1" sd="0" m="1" x="1094"/>
        <item h="1" sd="0" x="578"/>
        <item h="1" sd="0" m="1" x="1198"/>
        <item h="1" x="895"/>
        <item h="1" x="858"/>
        <item h="1" sd="0" x="552"/>
        <item h="1" sd="0" m="1" x="1048"/>
        <item h="1" sd="0" m="1" x="1028"/>
        <item h="1" sd="0" m="1" x="1027"/>
        <item h="1" sd="0" x="382"/>
        <item h="1" sd="0" x="90"/>
        <item h="1" sd="0" x="390"/>
        <item h="1" x="902"/>
        <item h="1" x="901"/>
        <item h="1" sd="0" x="202"/>
        <item h="1" sd="0" x="67"/>
        <item h="1" sd="0" m="1" x="1126"/>
        <item h="1" sd="0" x="701"/>
        <item h="1" sd="0" x="65"/>
        <item h="1" sd="0" x="247"/>
        <item h="1" sd="0" m="1" x="998"/>
        <item h="1" sd="0" x="712"/>
        <item h="1" sd="0" x="216"/>
        <item h="1" sd="0" m="1" x="1010"/>
        <item h="1" sd="0" x="141"/>
        <item h="1" sd="0" x="177"/>
        <item h="1" sd="0" x="305"/>
        <item h="1" sd="0" m="1" x="1006"/>
        <item h="1" sd="0" x="426"/>
        <item h="1" x="916"/>
        <item h="1" sd="0" x="404"/>
        <item sd="0" x="655"/>
        <item h="1" x="737"/>
        <item h="1" sd="0" x="400"/>
        <item h="1" sd="0" x="347"/>
        <item h="1" sd="0" m="1" x="1190"/>
        <item h="1" sd="0" m="1" x="1074"/>
        <item h="1" sd="0" x="293"/>
        <item h="1" sd="0" x="148"/>
        <item h="1" sd="0" x="354"/>
        <item h="1" x="880"/>
        <item h="1" x="785"/>
        <item h="1" sd="0" m="1" x="1129"/>
        <item h="1" sd="0" x="27"/>
        <item h="1" sd="0" m="1" x="1139"/>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2"/>
        <item h="1" sd="0" x="586"/>
        <item h="1" x="886"/>
        <item h="1" sd="0" x="412"/>
        <item h="1" sd="0" x="516"/>
        <item h="1" x="912"/>
        <item h="1" x="829"/>
        <item h="1" sd="0" x="29"/>
        <item h="1" sd="0" m="1" x="1184"/>
        <item h="1" sd="0" x="9"/>
        <item h="1" x="761"/>
        <item h="1" sd="0" x="335"/>
        <item h="1" sd="0" m="1" x="1078"/>
        <item h="1" sd="0" m="1" x="1105"/>
        <item h="1" sd="0" m="1" x="1043"/>
        <item h="1" sd="0" x="234"/>
        <item h="1" sd="0" x="162"/>
        <item h="1" sd="0" x="410"/>
        <item h="1" sd="0" m="1" x="1014"/>
        <item h="1" sd="0" x="629"/>
        <item h="1" sd="0" m="1" x="1150"/>
        <item h="1" sd="0" m="1" x="1181"/>
        <item h="1" sd="0" x="477"/>
        <item h="1" sd="0" x="544"/>
        <item h="1" sd="0" x="546"/>
        <item h="1" sd="0" m="1" x="999"/>
        <item h="1" x="903"/>
        <item h="1" sd="0" x="615"/>
        <item h="1" sd="0" x="682"/>
        <item h="1" sd="0" m="1" x="1166"/>
        <item h="1" sd="0" x="300"/>
        <item h="1" sd="0" x="167"/>
        <item h="1" sd="0" x="76"/>
        <item h="1" sd="0" x="444"/>
        <item h="1" sd="0" m="1" x="1143"/>
        <item h="1" sd="0" x="342"/>
        <item sd="0" x="734"/>
        <item h="1" x="891"/>
        <item h="1" m="1" x="1066"/>
        <item h="1" sd="0" x="341"/>
        <item h="1" x="769"/>
        <item h="1" sd="0" m="1" x="974"/>
        <item h="1" sd="0" m="1" x="1039"/>
        <item h="1" sd="0" x="618"/>
        <item h="1" sd="0" m="1" x="1118"/>
        <item h="1" sd="0" m="1" x="1097"/>
        <item h="1" sd="0" x="380"/>
        <item h="1" m="1" x="1160"/>
        <item h="1" sd="0" x="433"/>
        <item h="1" sd="0" m="1" x="1136"/>
        <item h="1" x="904"/>
        <item h="1" sd="0" x="113"/>
        <item h="1" x="770"/>
        <item h="1" sd="0" x="559"/>
        <item h="1" sd="0" x="251"/>
        <item h="1" sd="0" x="176"/>
        <item h="1" sd="0" x="446"/>
        <item h="1" sd="0" x="372"/>
        <item h="1" sd="0" x="246"/>
        <item h="1" x="732"/>
        <item h="1" sd="0" m="1" x="961"/>
        <item h="1" sd="0" x="257"/>
        <item h="1" sd="0" x="95"/>
        <item h="1" x="807"/>
        <item h="1" x="772"/>
        <item sd="0" x="338"/>
        <item h="1" sd="0" x="36"/>
        <item h="1" sd="0" m="1" x="1016"/>
        <item h="1" sd="0" x="381"/>
        <item h="1" sd="0" x="21"/>
        <item t="default" sd="0"/>
      </items>
    </pivotField>
    <pivotField axis="axisPage" showAll="0">
      <items count="1201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004"/>
        <item x="12006"/>
        <item x="11935"/>
        <item x="11936"/>
        <item x="11937"/>
        <item x="11938"/>
        <item x="11939"/>
        <item x="11940"/>
        <item x="11941"/>
        <item x="11942"/>
        <item x="11943"/>
        <item x="11944"/>
        <item x="11947"/>
        <item x="11948"/>
        <item x="11949"/>
        <item x="11950"/>
        <item x="11951"/>
        <item x="11952"/>
        <item x="11953"/>
        <item x="11954"/>
        <item x="11959"/>
        <item x="12001"/>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005"/>
        <item x="11977"/>
        <item x="11978"/>
        <item x="11979"/>
        <item x="11980"/>
        <item x="11981"/>
        <item x="11982"/>
        <item x="11983"/>
        <item x="11984"/>
        <item x="11985"/>
        <item x="11987"/>
        <item x="12002"/>
        <item x="12003"/>
        <item x="12007"/>
        <item x="12008"/>
        <item x="11986"/>
        <item x="11988"/>
        <item x="11989"/>
        <item x="11990"/>
        <item x="11991"/>
        <item x="11992"/>
        <item x="11993"/>
        <item x="11994"/>
        <item x="11995"/>
        <item x="11996"/>
        <item x="11997"/>
        <item x="11998"/>
        <item x="11999"/>
        <item x="12000"/>
        <item t="default"/>
      </items>
    </pivotField>
    <pivotField dataField="1" showAll="0"/>
    <pivotField dataField="1" showAll="0"/>
    <pivotField dataField="1" showAll="0"/>
    <pivotField axis="axisPage" showAll="0">
      <items count="285">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3"/>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4"/>
    </i>
    <i>
      <x v="299"/>
    </i>
    <i>
      <x v="304"/>
    </i>
    <i>
      <x v="385"/>
    </i>
    <i>
      <x v="387"/>
    </i>
    <i>
      <x v="413"/>
    </i>
    <i>
      <x v="519"/>
    </i>
    <i>
      <x v="601"/>
    </i>
    <i>
      <x v="602"/>
    </i>
    <i>
      <x v="614"/>
    </i>
    <i>
      <x v="730"/>
    </i>
    <i>
      <x v="736"/>
    </i>
    <i>
      <x v="821"/>
    </i>
    <i>
      <x v="861"/>
    </i>
    <i>
      <x v="875"/>
    </i>
    <i>
      <x v="894"/>
    </i>
    <i>
      <x v="915"/>
    </i>
    <i>
      <x v="935"/>
    </i>
    <i>
      <x v="1101"/>
    </i>
    <i>
      <x v="1126"/>
    </i>
    <i>
      <x v="1170"/>
    </i>
    <i>
      <x v="119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21"/>
          </reference>
        </references>
      </pivotArea>
    </format>
    <format dxfId="70">
      <pivotArea dataOnly="0" labelOnly="1" fieldPosition="0">
        <references count="2">
          <reference field="1" count="2">
            <x v="39"/>
            <x v="103"/>
          </reference>
          <reference field="2" count="1" selected="0">
            <x v="821"/>
          </reference>
        </references>
      </pivotArea>
    </format>
    <format dxfId="69">
      <pivotArea dataOnly="0" labelOnly="1" fieldPosition="0">
        <references count="2">
          <reference field="1" count="9">
            <x v="0"/>
            <x v="1"/>
            <x v="2"/>
            <x v="3"/>
            <x v="17"/>
            <x v="25"/>
            <x v="33"/>
            <x v="39"/>
            <x v="103"/>
          </reference>
          <reference field="2" count="1" selected="0">
            <x v="82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2"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6" firstHeaderRow="0" firstDataRow="1" firstDataCol="1" rowPageCount="1" colPageCount="1"/>
  <pivotFields count="8">
    <pivotField axis="axisPage" showAll="0">
      <items count="1568">
        <item x="0"/>
        <item x="1"/>
        <item x="2"/>
        <item x="4"/>
        <item x="5"/>
        <item x="7"/>
        <item x="8"/>
        <item x="9"/>
        <item m="1" x="1508"/>
        <item x="10"/>
        <item x="11"/>
        <item m="1" x="1434"/>
        <item x="12"/>
        <item x="13"/>
        <item x="14"/>
        <item x="16"/>
        <item x="18"/>
        <item x="3"/>
        <item x="6"/>
        <item x="17"/>
        <item x="15"/>
        <item m="1" x="1430"/>
        <item m="1" x="1501"/>
        <item x="21"/>
        <item x="19"/>
        <item x="23"/>
        <item m="1" x="1531"/>
        <item x="24"/>
        <item x="20"/>
        <item x="28"/>
        <item m="1" x="1498"/>
        <item x="22"/>
        <item x="39"/>
        <item x="25"/>
        <item x="29"/>
        <item x="35"/>
        <item x="26"/>
        <item x="27"/>
        <item x="38"/>
        <item x="30"/>
        <item x="31"/>
        <item x="32"/>
        <item m="1" x="1436"/>
        <item x="37"/>
        <item m="1" x="1519"/>
        <item m="1" x="1506"/>
        <item x="44"/>
        <item x="34"/>
        <item x="40"/>
        <item x="33"/>
        <item x="36"/>
        <item x="60"/>
        <item x="42"/>
        <item m="1" x="1444"/>
        <item x="41"/>
        <item x="47"/>
        <item x="43"/>
        <item m="1" x="1544"/>
        <item x="50"/>
        <item x="45"/>
        <item x="46"/>
        <item x="52"/>
        <item m="1" x="1542"/>
        <item x="53"/>
        <item x="56"/>
        <item x="49"/>
        <item x="48"/>
        <item m="1" x="1459"/>
        <item x="51"/>
        <item m="1" x="1517"/>
        <item x="54"/>
        <item x="55"/>
        <item x="62"/>
        <item x="57"/>
        <item x="58"/>
        <item x="59"/>
        <item x="61"/>
        <item x="63"/>
        <item x="64"/>
        <item x="65"/>
        <item x="66"/>
        <item x="67"/>
        <item x="68"/>
        <item m="1" x="1515"/>
        <item m="1" x="1468"/>
        <item x="69"/>
        <item x="70"/>
        <item x="76"/>
        <item m="1" x="1534"/>
        <item m="1" x="1549"/>
        <item m="1" x="1458"/>
        <item x="71"/>
        <item x="72"/>
        <item x="73"/>
        <item x="74"/>
        <item x="75"/>
        <item x="77"/>
        <item x="78"/>
        <item x="79"/>
        <item m="1" x="1480"/>
        <item x="87"/>
        <item x="80"/>
        <item m="1" x="1560"/>
        <item x="81"/>
        <item x="82"/>
        <item x="83"/>
        <item x="84"/>
        <item x="85"/>
        <item x="86"/>
        <item x="88"/>
        <item x="89"/>
        <item x="90"/>
        <item x="91"/>
        <item m="1" x="1477"/>
        <item x="92"/>
        <item x="93"/>
        <item x="94"/>
        <item x="95"/>
        <item m="1" x="1487"/>
        <item x="96"/>
        <item m="1" x="1541"/>
        <item x="97"/>
        <item x="104"/>
        <item x="98"/>
        <item x="109"/>
        <item x="99"/>
        <item x="100"/>
        <item x="101"/>
        <item x="102"/>
        <item x="103"/>
        <item x="105"/>
        <item x="106"/>
        <item x="107"/>
        <item x="108"/>
        <item x="110"/>
        <item x="111"/>
        <item m="1" x="14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94"/>
        <item m="1" x="1475"/>
        <item x="140"/>
        <item x="166"/>
        <item x="145"/>
        <item x="142"/>
        <item x="190"/>
        <item x="143"/>
        <item m="1" x="156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3"/>
        <item x="178"/>
        <item x="179"/>
        <item x="180"/>
        <item x="181"/>
        <item x="141"/>
        <item x="154"/>
        <item x="168"/>
        <item x="182"/>
        <item x="184"/>
        <item x="216"/>
        <item m="1" x="1507"/>
        <item x="186"/>
        <item x="185"/>
        <item x="187"/>
        <item x="188"/>
        <item x="191"/>
        <item x="192"/>
        <item x="193"/>
        <item x="194"/>
        <item x="195"/>
        <item x="196"/>
        <item x="197"/>
        <item x="199"/>
        <item x="200"/>
        <item x="201"/>
        <item m="1" x="1408"/>
        <item m="1" x="1410"/>
        <item m="1" x="1522"/>
        <item m="1" x="1425"/>
        <item x="204"/>
        <item x="202"/>
        <item x="203"/>
        <item x="205"/>
        <item x="206"/>
        <item x="183"/>
        <item x="207"/>
        <item x="208"/>
        <item x="209"/>
        <item x="210"/>
        <item x="211"/>
        <item m="1" x="1509"/>
        <item m="1" x="1421"/>
        <item m="1" x="1415"/>
        <item m="1" x="1455"/>
        <item x="222"/>
        <item x="212"/>
        <item x="213"/>
        <item x="214"/>
        <item x="215"/>
        <item x="217"/>
        <item m="1" x="1532"/>
        <item x="218"/>
        <item x="219"/>
        <item x="220"/>
        <item m="1" x="1433"/>
        <item m="1" x="1529"/>
        <item x="221"/>
        <item x="223"/>
        <item x="224"/>
        <item x="228"/>
        <item x="229"/>
        <item x="230"/>
        <item x="231"/>
        <item x="232"/>
        <item x="233"/>
        <item x="234"/>
        <item x="235"/>
        <item x="241"/>
        <item x="236"/>
        <item x="237"/>
        <item x="238"/>
        <item x="239"/>
        <item x="240"/>
        <item x="242"/>
        <item x="243"/>
        <item m="1" x="1520"/>
        <item x="244"/>
        <item x="245"/>
        <item m="1" x="147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9"/>
        <item x="373"/>
        <item x="114"/>
        <item x="279"/>
        <item x="280"/>
        <item x="226"/>
        <item m="1" x="1485"/>
        <item x="281"/>
        <item x="282"/>
        <item m="1" x="1481"/>
        <item x="283"/>
        <item x="284"/>
        <item x="285"/>
        <item x="286"/>
        <item x="287"/>
        <item x="288"/>
        <item x="135"/>
        <item x="289"/>
        <item x="290"/>
        <item x="291"/>
        <item x="292"/>
        <item x="293"/>
        <item x="294"/>
        <item x="295"/>
        <item x="296"/>
        <item x="370"/>
        <item x="297"/>
        <item x="298"/>
        <item x="299"/>
        <item x="300"/>
        <item x="301"/>
        <item m="1" x="1493"/>
        <item x="303"/>
        <item x="302"/>
        <item x="304"/>
        <item m="1" x="1467"/>
        <item x="312"/>
        <item x="309"/>
        <item x="308"/>
        <item m="1" x="1558"/>
        <item x="305"/>
        <item x="311"/>
        <item x="306"/>
        <item x="307"/>
        <item x="227"/>
        <item x="310"/>
        <item x="313"/>
        <item x="314"/>
        <item x="315"/>
        <item x="316"/>
        <item x="321"/>
        <item x="317"/>
        <item x="318"/>
        <item x="320"/>
        <item x="319"/>
        <item x="322"/>
        <item x="323"/>
        <item x="324"/>
        <item x="325"/>
        <item x="326"/>
        <item x="327"/>
        <item x="328"/>
        <item m="1" x="1428"/>
        <item x="329"/>
        <item x="330"/>
        <item x="331"/>
        <item x="332"/>
        <item x="333"/>
        <item x="334"/>
        <item m="1" x="1555"/>
        <item m="1" x="1564"/>
        <item m="1" x="1546"/>
        <item m="1" x="1482"/>
        <item m="1" x="1478"/>
        <item x="336"/>
        <item x="335"/>
        <item x="337"/>
        <item x="338"/>
        <item x="339"/>
        <item x="351"/>
        <item x="340"/>
        <item x="341"/>
        <item x="342"/>
        <item m="1" x="1435"/>
        <item x="343"/>
        <item x="344"/>
        <item x="345"/>
        <item x="346"/>
        <item x="361"/>
        <item x="347"/>
        <item x="348"/>
        <item x="349"/>
        <item x="350"/>
        <item x="355"/>
        <item x="352"/>
        <item x="354"/>
        <item x="353"/>
        <item x="371"/>
        <item x="362"/>
        <item x="356"/>
        <item x="357"/>
        <item x="358"/>
        <item x="359"/>
        <item x="360"/>
        <item m="1" x="1437"/>
        <item x="363"/>
        <item x="364"/>
        <item x="365"/>
        <item x="366"/>
        <item x="367"/>
        <item x="368"/>
        <item x="369"/>
        <item m="1" x="1423"/>
        <item m="1" x="1496"/>
        <item m="1" x="1502"/>
        <item x="372"/>
        <item x="374"/>
        <item m="1" x="1523"/>
        <item x="378"/>
        <item x="381"/>
        <item x="375"/>
        <item x="376"/>
        <item x="377"/>
        <item m="1" x="1456"/>
        <item x="379"/>
        <item x="380"/>
        <item x="382"/>
        <item x="383"/>
        <item x="384"/>
        <item x="385"/>
        <item m="1" x="1538"/>
        <item m="1" x="1503"/>
        <item x="386"/>
        <item x="387"/>
        <item x="388"/>
        <item m="1" x="1438"/>
        <item m="1" x="1450"/>
        <item x="389"/>
        <item x="390"/>
        <item x="393"/>
        <item x="391"/>
        <item x="392"/>
        <item x="394"/>
        <item x="395"/>
        <item x="396"/>
        <item x="397"/>
        <item x="398"/>
        <item x="399"/>
        <item m="1" x="1472"/>
        <item x="400"/>
        <item x="401"/>
        <item x="402"/>
        <item x="403"/>
        <item x="404"/>
        <item x="405"/>
        <item m="1" x="1554"/>
        <item x="406"/>
        <item x="407"/>
        <item x="409"/>
        <item x="410"/>
        <item x="411"/>
        <item x="412"/>
        <item m="1" x="1530"/>
        <item x="413"/>
        <item x="414"/>
        <item x="415"/>
        <item x="408"/>
        <item x="416"/>
        <item m="1" x="1561"/>
        <item x="421"/>
        <item m="1" x="1446"/>
        <item x="417"/>
        <item x="418"/>
        <item x="420"/>
        <item m="1" x="1548"/>
        <item x="419"/>
        <item m="1" x="1550"/>
        <item x="422"/>
        <item x="423"/>
        <item x="424"/>
        <item x="425"/>
        <item x="426"/>
        <item x="427"/>
        <item x="428"/>
        <item x="429"/>
        <item x="430"/>
        <item x="431"/>
        <item x="432"/>
        <item x="433"/>
        <item x="434"/>
        <item x="435"/>
        <item x="436"/>
        <item x="437"/>
        <item x="438"/>
        <item x="439"/>
        <item x="440"/>
        <item x="441"/>
        <item x="442"/>
        <item x="443"/>
        <item m="1" x="1489"/>
        <item x="444"/>
        <item x="445"/>
        <item x="446"/>
        <item m="1" x="1486"/>
        <item x="447"/>
        <item m="1" x="1492"/>
        <item x="448"/>
        <item m="1" x="1553"/>
        <item x="449"/>
        <item x="450"/>
        <item m="1" x="1413"/>
        <item x="451"/>
        <item x="452"/>
        <item x="453"/>
        <item x="454"/>
        <item x="455"/>
        <item m="1" x="1422"/>
        <item x="456"/>
        <item x="457"/>
        <item x="458"/>
        <item x="459"/>
        <item x="460"/>
        <item x="461"/>
        <item x="462"/>
        <item m="1" x="1431"/>
        <item x="463"/>
        <item x="464"/>
        <item x="465"/>
        <item x="466"/>
        <item x="467"/>
        <item x="468"/>
        <item x="469"/>
        <item x="470"/>
        <item x="471"/>
        <item x="472"/>
        <item m="1" x="1441"/>
        <item x="473"/>
        <item x="474"/>
        <item x="475"/>
        <item x="476"/>
        <item x="477"/>
        <item m="1" x="1525"/>
        <item x="478"/>
        <item x="479"/>
        <item x="480"/>
        <item x="481"/>
        <item m="1" x="1513"/>
        <item x="482"/>
        <item x="483"/>
        <item x="484"/>
        <item x="485"/>
        <item x="486"/>
        <item x="487"/>
        <item x="488"/>
        <item x="489"/>
        <item x="490"/>
        <item x="491"/>
        <item x="492"/>
        <item x="493"/>
        <item x="494"/>
        <item x="495"/>
        <item x="496"/>
        <item m="1" x="1536"/>
        <item x="498"/>
        <item x="497"/>
        <item x="499"/>
        <item x="500"/>
        <item x="501"/>
        <item x="502"/>
        <item x="503"/>
        <item m="1" x="1488"/>
        <item x="505"/>
        <item x="506"/>
        <item x="507"/>
        <item x="508"/>
        <item x="509"/>
        <item x="510"/>
        <item x="511"/>
        <item m="1" x="1451"/>
        <item m="1" x="1445"/>
        <item m="1" x="1447"/>
        <item m="1" x="1439"/>
        <item m="1" x="1535"/>
        <item x="512"/>
        <item x="513"/>
        <item x="514"/>
        <item x="515"/>
        <item x="516"/>
        <item x="517"/>
        <item x="518"/>
        <item x="519"/>
        <item x="520"/>
        <item x="521"/>
        <item x="522"/>
        <item x="523"/>
        <item x="524"/>
        <item x="525"/>
        <item x="526"/>
        <item x="527"/>
        <item x="528"/>
        <item x="529"/>
        <item x="530"/>
        <item x="531"/>
        <item x="532"/>
        <item m="1" x="1499"/>
        <item x="538"/>
        <item x="533"/>
        <item x="534"/>
        <item x="535"/>
        <item x="536"/>
        <item x="537"/>
        <item x="542"/>
        <item x="539"/>
        <item x="540"/>
        <item x="541"/>
        <item x="543"/>
        <item x="544"/>
        <item x="545"/>
        <item x="546"/>
        <item x="547"/>
        <item x="549"/>
        <item x="550"/>
        <item x="551"/>
        <item x="552"/>
        <item x="553"/>
        <item x="554"/>
        <item x="555"/>
        <item m="1" x="145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14"/>
        <item x="607"/>
        <item x="611"/>
        <item x="612"/>
        <item x="613"/>
        <item x="614"/>
        <item x="608"/>
        <item x="609"/>
        <item x="610"/>
        <item x="615"/>
        <item x="616"/>
        <item m="1" x="1427"/>
        <item x="617"/>
        <item x="618"/>
        <item m="1" x="1516"/>
        <item x="619"/>
        <item x="620"/>
        <item x="621"/>
        <item m="1" x="1419"/>
        <item x="622"/>
        <item m="1" x="1524"/>
        <item x="624"/>
        <item x="623"/>
        <item x="625"/>
        <item x="627"/>
        <item x="629"/>
        <item x="630"/>
        <item x="631"/>
        <item x="632"/>
        <item x="633"/>
        <item x="634"/>
        <item m="1" x="1442"/>
        <item x="648"/>
        <item x="635"/>
        <item m="1" x="1457"/>
        <item m="1" x="1545"/>
        <item x="636"/>
        <item x="637"/>
        <item x="626"/>
        <item x="641"/>
        <item x="642"/>
        <item x="643"/>
        <item m="1" x="1539"/>
        <item x="628"/>
        <item x="644"/>
        <item x="645"/>
        <item x="646"/>
        <item m="1" x="1540"/>
        <item x="647"/>
        <item x="649"/>
        <item x="650"/>
        <item x="640"/>
        <item x="651"/>
        <item x="652"/>
        <item m="1" x="1511"/>
        <item x="653"/>
        <item m="1" x="1510"/>
        <item m="1" x="1500"/>
        <item m="1" x="1518"/>
        <item x="654"/>
        <item m="1" x="1452"/>
        <item x="655"/>
        <item x="656"/>
        <item x="657"/>
        <item x="658"/>
        <item x="659"/>
        <item x="639"/>
        <item x="660"/>
        <item x="662"/>
        <item x="665"/>
        <item x="663"/>
        <item x="664"/>
        <item x="638"/>
        <item x="661"/>
        <item x="666"/>
        <item x="667"/>
        <item x="668"/>
        <item x="669"/>
        <item x="670"/>
        <item x="671"/>
        <item x="672"/>
        <item x="673"/>
        <item x="674"/>
        <item m="1" x="1543"/>
        <item x="675"/>
        <item m="1" x="1547"/>
        <item x="679"/>
        <item x="676"/>
        <item x="677"/>
        <item x="678"/>
        <item x="680"/>
        <item m="1" x="1460"/>
        <item x="682"/>
        <item x="681"/>
        <item x="683"/>
        <item x="684"/>
        <item x="685"/>
        <item x="686"/>
        <item x="687"/>
        <item x="688"/>
        <item x="697"/>
        <item x="689"/>
        <item x="690"/>
        <item x="691"/>
        <item x="705"/>
        <item x="700"/>
        <item x="692"/>
        <item x="693"/>
        <item x="694"/>
        <item m="1" x="1466"/>
        <item x="695"/>
        <item x="696"/>
        <item x="698"/>
        <item x="699"/>
        <item x="701"/>
        <item m="1" x="1462"/>
        <item x="702"/>
        <item x="706"/>
        <item x="703"/>
        <item x="704"/>
        <item x="707"/>
        <item x="717"/>
        <item x="709"/>
        <item x="710"/>
        <item x="711"/>
        <item x="712"/>
        <item x="713"/>
        <item x="714"/>
        <item x="715"/>
        <item x="716"/>
        <item m="1" x="1491"/>
        <item x="718"/>
        <item x="719"/>
        <item x="720"/>
        <item m="1" x="1521"/>
        <item m="1" x="1552"/>
        <item m="1" x="1556"/>
        <item x="726"/>
        <item x="721"/>
        <item x="722"/>
        <item x="723"/>
        <item x="724"/>
        <item x="725"/>
        <item x="727"/>
        <item x="758"/>
        <item x="728"/>
        <item x="729"/>
        <item x="730"/>
        <item m="1" x="1504"/>
        <item m="1" x="1420"/>
        <item x="731"/>
        <item x="732"/>
        <item x="733"/>
        <item m="1" x="1476"/>
        <item x="734"/>
        <item x="735"/>
        <item x="736"/>
        <item x="737"/>
        <item x="738"/>
        <item x="739"/>
        <item x="740"/>
        <item x="741"/>
        <item x="742"/>
        <item x="765"/>
        <item x="743"/>
        <item x="744"/>
        <item x="745"/>
        <item x="746"/>
        <item x="753"/>
        <item x="747"/>
        <item m="1" x="1411"/>
        <item x="748"/>
        <item x="749"/>
        <item x="750"/>
        <item x="751"/>
        <item x="767"/>
        <item x="752"/>
        <item x="754"/>
        <item x="755"/>
        <item x="756"/>
        <item x="757"/>
        <item m="1" x="1484"/>
        <item x="759"/>
        <item m="1" x="1566"/>
        <item x="760"/>
        <item m="1" x="1426"/>
        <item x="761"/>
        <item x="762"/>
        <item m="1" x="1432"/>
        <item x="763"/>
        <item m="1" x="1414"/>
        <item x="764"/>
        <item x="766"/>
        <item x="768"/>
        <item m="1" x="1418"/>
        <item x="769"/>
        <item x="770"/>
        <item x="771"/>
        <item x="772"/>
        <item x="773"/>
        <item x="774"/>
        <item x="775"/>
        <item x="776"/>
        <item x="777"/>
        <item x="778"/>
        <item x="779"/>
        <item x="780"/>
        <item x="781"/>
        <item x="782"/>
        <item x="783"/>
        <item x="784"/>
        <item x="785"/>
        <item x="786"/>
        <item x="787"/>
        <item x="788"/>
        <item x="789"/>
        <item x="790"/>
        <item x="791"/>
        <item m="1" x="1417"/>
        <item x="792"/>
        <item m="1" x="1463"/>
        <item x="793"/>
        <item x="799"/>
        <item x="794"/>
        <item x="795"/>
        <item x="796"/>
        <item x="797"/>
        <item x="798"/>
        <item x="800"/>
        <item x="802"/>
        <item x="801"/>
        <item m="1" x="1464"/>
        <item x="803"/>
        <item x="804"/>
        <item x="805"/>
        <item x="808"/>
        <item x="810"/>
        <item x="809"/>
        <item m="1" x="1461"/>
        <item x="812"/>
        <item x="807"/>
        <item m="1" x="1453"/>
        <item x="819"/>
        <item m="1" x="1557"/>
        <item x="811"/>
        <item x="813"/>
        <item x="815"/>
        <item x="816"/>
        <item x="806"/>
        <item x="814"/>
        <item x="817"/>
        <item m="1" x="1474"/>
        <item x="821"/>
        <item x="822"/>
        <item m="1" x="1533"/>
        <item x="824"/>
        <item x="829"/>
        <item x="827"/>
        <item x="823"/>
        <item x="828"/>
        <item x="833"/>
        <item x="831"/>
        <item x="832"/>
        <item x="830"/>
        <item x="708"/>
        <item x="837"/>
        <item x="838"/>
        <item x="835"/>
        <item x="840"/>
        <item x="841"/>
        <item x="842"/>
        <item m="1" x="1551"/>
        <item x="834"/>
        <item m="1" x="1490"/>
        <item m="1" x="1537"/>
        <item x="820"/>
        <item x="836"/>
        <item x="839"/>
        <item x="846"/>
        <item x="845"/>
        <item x="847"/>
        <item x="844"/>
        <item m="1" x="1483"/>
        <item x="849"/>
        <item x="848"/>
        <item x="843"/>
        <item m="1" x="1559"/>
        <item x="850"/>
        <item x="852"/>
        <item x="853"/>
        <item x="854"/>
        <item x="856"/>
        <item x="857"/>
        <item x="851"/>
        <item x="858"/>
        <item x="859"/>
        <item m="1" x="1526"/>
        <item x="818"/>
        <item x="855"/>
        <item x="826"/>
        <item x="860"/>
        <item x="862"/>
        <item x="861"/>
        <item x="863"/>
        <item x="864"/>
        <item x="865"/>
        <item x="868"/>
        <item x="866"/>
        <item x="867"/>
        <item x="870"/>
        <item x="871"/>
        <item x="872"/>
        <item x="874"/>
        <item m="1" x="1479"/>
        <item x="873"/>
        <item x="877"/>
        <item x="879"/>
        <item x="878"/>
        <item x="876"/>
        <item x="880"/>
        <item x="881"/>
        <item x="883"/>
        <item m="1" x="1470"/>
        <item x="875"/>
        <item x="882"/>
        <item x="884"/>
        <item x="886"/>
        <item x="887"/>
        <item x="885"/>
        <item x="825"/>
        <item x="888"/>
        <item x="889"/>
        <item x="890"/>
        <item x="891"/>
        <item m="1" x="1495"/>
        <item x="892"/>
        <item x="893"/>
        <item x="894"/>
        <item x="898"/>
        <item x="896"/>
        <item x="900"/>
        <item x="895"/>
        <item x="897"/>
        <item x="902"/>
        <item x="903"/>
        <item x="904"/>
        <item x="905"/>
        <item x="901"/>
        <item x="899"/>
        <item x="906"/>
        <item x="869"/>
        <item m="1" x="1409"/>
        <item x="908"/>
        <item x="907"/>
        <item x="909"/>
        <item m="1" x="141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97"/>
        <item x="1156"/>
        <item x="1154"/>
        <item x="1159"/>
        <item x="1158"/>
        <item x="1162"/>
        <item x="1133"/>
        <item x="1123"/>
        <item x="1164"/>
        <item x="1161"/>
        <item x="1163"/>
        <item x="1165"/>
        <item x="1166"/>
        <item x="1167"/>
        <item x="1168"/>
        <item x="1169"/>
        <item x="1171"/>
        <item x="1173"/>
        <item x="1174"/>
        <item m="1" x="141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24"/>
        <item m="1" x="1505"/>
        <item m="1" x="1512"/>
        <item m="1" x="1429"/>
        <item m="1" x="1448"/>
        <item x="1210"/>
        <item x="1213"/>
        <item x="1205"/>
        <item x="1209"/>
        <item x="1211"/>
        <item x="1208"/>
        <item x="1204"/>
        <item x="1206"/>
        <item x="1214"/>
        <item x="1215"/>
        <item x="1207"/>
        <item x="1212"/>
        <item m="1" x="1527"/>
        <item x="1217"/>
        <item x="1222"/>
        <item x="1223"/>
        <item x="1225"/>
        <item m="1" x="1473"/>
        <item x="1219"/>
        <item x="1221"/>
        <item x="1224"/>
        <item x="1218"/>
        <item x="1228"/>
        <item x="1227"/>
        <item x="1229"/>
        <item x="1226"/>
        <item m="1" x="1528"/>
        <item x="1216"/>
        <item x="1232"/>
        <item x="1231"/>
        <item x="1233"/>
        <item x="1234"/>
        <item x="1236"/>
        <item x="1237"/>
        <item x="1239"/>
        <item x="1243"/>
        <item x="1244"/>
        <item x="1245"/>
        <item x="1248"/>
        <item x="1249"/>
        <item x="1242"/>
        <item m="1" x="1465"/>
        <item m="1" x="144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7"/>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7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73"/>
        <item sd="0" x="44"/>
        <item sd="0" x="47"/>
        <item sd="0" x="49"/>
        <item sd="0" m="1" x="163"/>
        <item sd="0" x="27"/>
        <item sd="0" x="52"/>
        <item sd="0" x="51"/>
        <item sd="0" x="53"/>
        <item sd="0" x="54"/>
        <item sd="0" x="55"/>
        <item sd="0" x="56"/>
        <item sd="0" x="57"/>
        <item sd="0" x="58"/>
        <item sd="0" x="59"/>
        <item sd="0" x="60"/>
        <item sd="0" x="61"/>
        <item sd="0" x="62"/>
        <item sd="0" x="63"/>
        <item sd="0" x="64"/>
        <item sd="0" x="65"/>
        <item sd="0" x="66"/>
        <item sd="0" x="70"/>
        <item sd="0" m="1" x="166"/>
        <item sd="0" x="67"/>
        <item sd="0" x="69"/>
        <item sd="0" m="1" x="175"/>
        <item sd="0" x="71"/>
        <item sd="0" x="72"/>
        <item sd="0" x="73"/>
        <item sd="0" m="1" x="164"/>
        <item sd="0" x="132"/>
        <item sd="0" m="1" x="170"/>
        <item sd="0" x="77"/>
        <item sd="0" x="76"/>
        <item sd="0" x="82"/>
        <item sd="0" x="74"/>
        <item sd="0" x="75"/>
        <item sd="0" x="68"/>
        <item sd="0" x="78"/>
        <item sd="0" x="79"/>
        <item sd="0" m="1" x="177"/>
        <item sd="0" x="80"/>
        <item sd="0" x="81"/>
        <item sd="0" m="1" x="171"/>
        <item sd="0" x="83"/>
        <item sd="0" x="85"/>
        <item sd="0" x="84"/>
        <item sd="0" x="86"/>
        <item sd="0" x="87"/>
        <item sd="0" x="89"/>
        <item sd="0" x="90"/>
        <item sd="0" x="91"/>
        <item sd="0" x="92"/>
        <item sd="0" x="93"/>
        <item sd="0" x="94"/>
        <item sd="0" x="95"/>
        <item sd="0" x="96"/>
        <item sd="0" m="1" x="174"/>
        <item sd="0" m="1" x="169"/>
        <item sd="0" m="1" x="160"/>
        <item sd="0" x="97"/>
        <item sd="0" x="100"/>
        <item sd="0" m="1" x="158"/>
        <item sd="0" x="101"/>
        <item sd="0" x="110"/>
        <item sd="0" x="106"/>
        <item sd="0" x="88"/>
        <item sd="0" x="102"/>
        <item sd="0" x="112"/>
        <item sd="0" x="113"/>
        <item sd="0" m="1" x="172"/>
        <item sd="0" x="108"/>
        <item sd="0" x="115"/>
        <item sd="0" m="1" x="179"/>
        <item sd="0" x="116"/>
        <item sd="0" x="98"/>
        <item sd="0" x="99"/>
        <item sd="0" x="103"/>
        <item sd="0" x="114"/>
        <item sd="0" x="107"/>
        <item sd="0" x="117"/>
        <item sd="0" x="118"/>
        <item sd="0" x="119"/>
        <item sd="0" x="120"/>
        <item m="1" x="162"/>
        <item sd="0" x="121"/>
        <item sd="0" x="104"/>
        <item sd="0" x="122"/>
        <item sd="0" x="105"/>
        <item sd="0" x="111"/>
        <item sd="0" x="109"/>
        <item sd="0" m="1" x="168"/>
        <item sd="0" x="123"/>
        <item m="1" x="161"/>
        <item sd="0" x="124"/>
        <item sd="0" x="125"/>
        <item sd="0" x="126"/>
        <item sd="0" m="1" x="159"/>
        <item sd="0" x="130"/>
        <item sd="0" x="128"/>
        <item sd="0" x="131"/>
        <item sd="0" x="133"/>
        <item m="1" x="180"/>
        <item sd="0" x="129"/>
        <item sd="0" x="135"/>
        <item x="136"/>
        <item sd="0" x="134"/>
        <item sd="0" x="137"/>
        <item sd="0" x="138"/>
        <item sd="0" x="139"/>
        <item sd="0" x="127"/>
        <item sd="0" x="140"/>
        <item x="142"/>
        <item sd="0" x="144"/>
        <item x="145"/>
        <item sd="0" m="1" x="167"/>
        <item sd="0" x="148"/>
        <item sd="0" x="149"/>
        <item sd="0" x="147"/>
        <item x="143"/>
        <item x="151"/>
        <item m="1" x="157"/>
        <item sd="0" x="150"/>
        <item sd="0" x="153"/>
        <item sd="0" x="141"/>
        <item sd="0" x="152"/>
        <item sd="0" x="154"/>
        <item sd="0" x="155"/>
        <item m="1" x="176"/>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1">
    <i>
      <x v="167"/>
    </i>
    <i>
      <x v="176"/>
    </i>
    <i>
      <x v="168"/>
    </i>
    <i>
      <x v="82"/>
    </i>
    <i>
      <x v="173"/>
    </i>
    <i>
      <x v="175"/>
    </i>
    <i>
      <x v="117"/>
    </i>
    <i>
      <x v="121"/>
    </i>
    <i>
      <x v="166"/>
    </i>
    <i>
      <x v="151"/>
    </i>
    <i>
      <x v="149"/>
    </i>
    <i>
      <x v="146"/>
    </i>
    <i>
      <x v="150"/>
    </i>
    <i>
      <x v="124"/>
    </i>
    <i>
      <x v="174"/>
    </i>
    <i>
      <x v="179"/>
    </i>
    <i r="1">
      <x v="62"/>
    </i>
    <i r="1">
      <x v="13"/>
    </i>
    <i r="1">
      <x v="52"/>
    </i>
    <i r="1">
      <x v="7"/>
    </i>
    <i>
      <x v="180"/>
    </i>
    <i r="1">
      <x v="4"/>
    </i>
    <i r="1">
      <x v="52"/>
    </i>
    <i r="1">
      <x v="9"/>
    </i>
    <i>
      <x v="157"/>
    </i>
    <i>
      <x v="163"/>
    </i>
    <i>
      <x v="177"/>
    </i>
    <i>
      <x v="170"/>
    </i>
    <i r="1">
      <x v="52"/>
    </i>
    <i>
      <x v="153"/>
    </i>
    <i>
      <x v="160"/>
    </i>
    <i>
      <x v="144"/>
    </i>
    <i>
      <x v="161"/>
    </i>
    <i>
      <x v="118"/>
    </i>
    <i>
      <x v="132"/>
    </i>
    <i>
      <x v="22"/>
    </i>
    <i>
      <x v="172"/>
    </i>
    <i>
      <x v="142"/>
    </i>
    <i>
      <x v="125"/>
    </i>
    <i>
      <x v="156"/>
    </i>
    <i>
      <x v="154"/>
    </i>
    <i>
      <x v="113"/>
    </i>
    <i>
      <x v="28"/>
    </i>
    <i>
      <x v="23"/>
    </i>
    <i>
      <x v="35"/>
    </i>
    <i>
      <x v="101"/>
    </i>
    <i>
      <x v="36"/>
    </i>
    <i>
      <x v="122"/>
    </i>
    <i>
      <x v="37"/>
    </i>
    <i>
      <x v="32"/>
    </i>
    <i>
      <x v="38"/>
    </i>
    <i>
      <x v="30"/>
    </i>
    <i>
      <x v="39"/>
    </i>
    <i>
      <x v="105"/>
    </i>
    <i>
      <x v="40"/>
    </i>
    <i>
      <x v="3"/>
    </i>
    <i>
      <x v="41"/>
    </i>
    <i>
      <x v="127"/>
    </i>
    <i>
      <x v="42"/>
    </i>
    <i>
      <x v="137"/>
    </i>
    <i>
      <x v="43"/>
    </i>
    <i>
      <x v="34"/>
    </i>
    <i>
      <x v="7"/>
    </i>
    <i>
      <x v="44"/>
    </i>
    <i>
      <x v="10"/>
    </i>
    <i>
      <x v="45"/>
    </i>
    <i>
      <x v="99"/>
    </i>
    <i>
      <x v="47"/>
    </i>
    <i>
      <x v="103"/>
    </i>
    <i>
      <x v="48"/>
    </i>
    <i>
      <x v="110"/>
    </i>
    <i>
      <x v="50"/>
    </i>
    <i>
      <x v="115"/>
    </i>
    <i>
      <x v="51"/>
    </i>
    <i>
      <x v="119"/>
    </i>
    <i>
      <x v="52"/>
    </i>
    <i>
      <x v="31"/>
    </i>
    <i>
      <x v="54"/>
    </i>
    <i>
      <x v="130"/>
    </i>
    <i>
      <x v="55"/>
    </i>
    <i>
      <x v="135"/>
    </i>
    <i>
      <x v="56"/>
    </i>
    <i>
      <x v="139"/>
    </i>
    <i>
      <x v="57"/>
    </i>
    <i>
      <x v="145"/>
    </i>
    <i>
      <x v="58"/>
    </i>
    <i>
      <x v="9"/>
    </i>
    <i>
      <x v="59"/>
    </i>
    <i>
      <x v="159"/>
    </i>
    <i>
      <x v="60"/>
    </i>
    <i>
      <x v="29"/>
    </i>
    <i>
      <x v="61"/>
    </i>
    <i>
      <x v="12"/>
    </i>
    <i>
      <x v="62"/>
    </i>
    <i>
      <x v="98"/>
    </i>
    <i>
      <x v="63"/>
    </i>
    <i>
      <x v="100"/>
    </i>
    <i>
      <x v="64"/>
    </i>
    <i>
      <x v="102"/>
    </i>
    <i>
      <x v="65"/>
    </i>
    <i>
      <x v="104"/>
    </i>
    <i>
      <x v="66"/>
    </i>
    <i>
      <x v="106"/>
    </i>
    <i>
      <x v="67"/>
    </i>
    <i>
      <x v="111"/>
    </i>
    <i>
      <x v="68"/>
    </i>
    <i>
      <x v="114"/>
    </i>
    <i>
      <x v="69"/>
    </i>
    <i>
      <x v="116"/>
    </i>
    <i>
      <x v="70"/>
    </i>
    <i>
      <x v="19"/>
    </i>
    <i>
      <x v="71"/>
    </i>
    <i>
      <x v="4"/>
    </i>
    <i>
      <x v="73"/>
    </i>
    <i>
      <x v="5"/>
    </i>
    <i>
      <x v="74"/>
    </i>
    <i>
      <x v="126"/>
    </i>
    <i>
      <x v="76"/>
    </i>
    <i>
      <x v="128"/>
    </i>
    <i>
      <x v="77"/>
    </i>
    <i>
      <x v="131"/>
    </i>
    <i>
      <x v="78"/>
    </i>
    <i>
      <x v="133"/>
    </i>
    <i>
      <x v="80"/>
    </i>
    <i>
      <x v="136"/>
    </i>
    <i>
      <x v="1"/>
    </i>
    <i>
      <x v="138"/>
    </i>
    <i>
      <x v="83"/>
    </i>
    <i>
      <x v="140"/>
    </i>
    <i>
      <x v="2"/>
    </i>
    <i>
      <x v="24"/>
    </i>
    <i>
      <x v="85"/>
    </i>
    <i>
      <x v="6"/>
    </i>
    <i>
      <x/>
    </i>
    <i>
      <x v="8"/>
    </i>
    <i>
      <x v="87"/>
    </i>
    <i>
      <x v="25"/>
    </i>
    <i>
      <x v="155"/>
    </i>
    <i r="1">
      <x v="52"/>
    </i>
    <i>
      <x v="33"/>
    </i>
    <i>
      <x v="26"/>
    </i>
    <i>
      <x v="88"/>
    </i>
    <i>
      <x v="158"/>
    </i>
    <i>
      <x v="20"/>
    </i>
    <i>
      <x v="27"/>
    </i>
    <i>
      <x v="14"/>
    </i>
    <i>
      <x v="162"/>
    </i>
    <i r="1">
      <x v="52"/>
    </i>
    <i>
      <x v="16"/>
    </i>
    <i>
      <x v="164"/>
    </i>
    <i r="1">
      <x v="66"/>
    </i>
    <i r="1">
      <x v="62"/>
    </i>
    <i>
      <x v="21"/>
    </i>
    <i>
      <x v="11"/>
    </i>
    <i>
      <x v="95"/>
    </i>
    <i>
      <x v="169"/>
    </i>
    <i r="1">
      <x v="4"/>
    </i>
    <i>
      <x v="96"/>
    </i>
    <i>
      <x v="97"/>
    </i>
    <i>
      <x v="89"/>
    </i>
    <i>
      <x v="15"/>
    </i>
    <i>
      <x v="91"/>
    </i>
    <i>
      <x v="17"/>
    </i>
    <i>
      <x v="92"/>
    </i>
    <i>
      <x v="18"/>
    </i>
    <i>
      <x v="94"/>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45703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138"/>
  <sheetViews>
    <sheetView tabSelected="1" zoomScale="145" zoomScaleNormal="145" workbookViewId="0">
      <pane ySplit="1" topLeftCell="A23129" activePane="bottomLeft" state="frozen"/>
      <selection pane="bottomLeft" activeCell="C23141" sqref="C2314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10351</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14351</v>
      </c>
      <c r="C22951" s="173" t="s">
        <v>15121</v>
      </c>
      <c r="D22951" s="227" t="s">
        <v>15626</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37</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129"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15865</v>
      </c>
      <c r="C22975" s="1082" t="s">
        <v>10972</v>
      </c>
      <c r="D22975" s="1123" t="s">
        <v>15866</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15869</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15869</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15869</v>
      </c>
      <c r="E22979" s="671">
        <v>24100</v>
      </c>
      <c r="F22979" s="1083"/>
      <c r="G22979" s="125">
        <f t="shared" si="658"/>
        <v>-24100</v>
      </c>
      <c r="H22979" s="704" t="s">
        <v>15860</v>
      </c>
    </row>
    <row r="22980" spans="1:8" ht="15" x14ac:dyDescent="0.2">
      <c r="A22980" s="1081">
        <v>45689</v>
      </c>
      <c r="B22980" s="1082" t="s">
        <v>11068</v>
      </c>
      <c r="C22980" s="1082" t="s">
        <v>15867</v>
      </c>
      <c r="D22980" s="1123" t="s">
        <v>14765</v>
      </c>
      <c r="E22980" s="1083">
        <v>82000</v>
      </c>
      <c r="F22980" s="1083"/>
      <c r="G22980" s="125">
        <f t="shared" si="658"/>
        <v>-82000</v>
      </c>
      <c r="H22980" s="704" t="s">
        <v>15860</v>
      </c>
    </row>
    <row r="22981" spans="1:8" ht="15" x14ac:dyDescent="0.2">
      <c r="A22981" s="1081">
        <v>45689</v>
      </c>
      <c r="B22981" s="1082" t="s">
        <v>15338</v>
      </c>
      <c r="C22981" s="1082" t="s">
        <v>15870</v>
      </c>
      <c r="D22981" s="1123" t="s">
        <v>15868</v>
      </c>
      <c r="E22981" s="1083">
        <v>101900</v>
      </c>
      <c r="F22981" s="1083"/>
      <c r="G22981" s="125">
        <f t="shared" si="658"/>
        <v>-101900</v>
      </c>
      <c r="H22981" s="704" t="s">
        <v>15860</v>
      </c>
    </row>
    <row r="22982" spans="1:8" ht="15" x14ac:dyDescent="0.2">
      <c r="A22982" s="1081">
        <v>45689</v>
      </c>
      <c r="B22982" s="1082" t="s">
        <v>14596</v>
      </c>
      <c r="C22982" s="1082" t="s">
        <v>5409</v>
      </c>
      <c r="D22982" s="1123" t="s">
        <v>15871</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15876</v>
      </c>
      <c r="E22984" s="1083">
        <v>4600</v>
      </c>
      <c r="F22984" s="1083"/>
      <c r="G22984" s="125">
        <f t="shared" si="657"/>
        <v>-4600</v>
      </c>
      <c r="H22984" s="704" t="s">
        <v>15860</v>
      </c>
    </row>
    <row r="22985" spans="1:8" ht="15" x14ac:dyDescent="0.2">
      <c r="A22985" s="1081">
        <v>45691</v>
      </c>
      <c r="B22985" s="1082" t="s">
        <v>14232</v>
      </c>
      <c r="C22985" s="1082" t="s">
        <v>10972</v>
      </c>
      <c r="D22985" s="1123" t="s">
        <v>15876</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15872</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15873</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15874</v>
      </c>
      <c r="E22991" s="1083">
        <v>2000</v>
      </c>
      <c r="F22991" s="1083"/>
      <c r="G22991" s="125">
        <f t="shared" si="659"/>
        <v>-2000</v>
      </c>
      <c r="H22991" s="704" t="s">
        <v>15860</v>
      </c>
    </row>
    <row r="22992" spans="1:8" ht="15" x14ac:dyDescent="0.2">
      <c r="A22992" s="1081">
        <v>45691</v>
      </c>
      <c r="B22992" s="1082" t="s">
        <v>15430</v>
      </c>
      <c r="C22992" s="1082" t="s">
        <v>5386</v>
      </c>
      <c r="D22992" s="1123" t="s">
        <v>15875</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15877</v>
      </c>
      <c r="E22994" s="1083">
        <v>507000</v>
      </c>
      <c r="F22994" s="1083"/>
      <c r="G22994" s="125">
        <f t="shared" si="659"/>
        <v>-507000</v>
      </c>
      <c r="H22994" s="704" t="s">
        <v>15860</v>
      </c>
    </row>
    <row r="22995" spans="1:8" ht="15" x14ac:dyDescent="0.2">
      <c r="A22995" s="1081">
        <v>45691</v>
      </c>
      <c r="B22995" s="1082" t="s">
        <v>11068</v>
      </c>
      <c r="C22995" s="1082" t="s">
        <v>15878</v>
      </c>
      <c r="D22995" s="1123" t="s">
        <v>15879</v>
      </c>
      <c r="E22995" s="1083">
        <v>200000</v>
      </c>
      <c r="F22995" s="1083"/>
      <c r="G22995" s="125">
        <f t="shared" si="659"/>
        <v>-200000</v>
      </c>
      <c r="H22995" s="704" t="s">
        <v>15860</v>
      </c>
    </row>
    <row r="22996" spans="1:8" ht="15" x14ac:dyDescent="0.2">
      <c r="A22996" s="1081">
        <v>45691</v>
      </c>
      <c r="B22996" s="1082" t="s">
        <v>11068</v>
      </c>
      <c r="C22996" s="1082" t="s">
        <v>15878</v>
      </c>
      <c r="D22996" s="1123" t="s">
        <v>15879</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15880</v>
      </c>
      <c r="E23001" s="1083">
        <v>30000</v>
      </c>
      <c r="F23001" s="1083"/>
      <c r="G23001" s="125">
        <f t="shared" si="659"/>
        <v>-30000</v>
      </c>
      <c r="H23001" s="704" t="s">
        <v>15860</v>
      </c>
    </row>
    <row r="23002" spans="1:8" ht="15" x14ac:dyDescent="0.2">
      <c r="A23002" s="1081">
        <v>45692</v>
      </c>
      <c r="B23002" s="1082" t="s">
        <v>15430</v>
      </c>
      <c r="C23002" s="1082" t="s">
        <v>10332</v>
      </c>
      <c r="D23002" s="1123" t="s">
        <v>15881</v>
      </c>
      <c r="E23002" s="1083">
        <v>1700</v>
      </c>
      <c r="F23002" s="1083"/>
      <c r="G23002" s="125">
        <f t="shared" si="659"/>
        <v>-1700</v>
      </c>
      <c r="H23002" s="704" t="s">
        <v>15860</v>
      </c>
    </row>
    <row r="23003" spans="1:8" ht="15" x14ac:dyDescent="0.2">
      <c r="A23003" s="1081">
        <v>45692</v>
      </c>
      <c r="B23003" s="1082" t="s">
        <v>15100</v>
      </c>
      <c r="C23003" s="1082" t="s">
        <v>10332</v>
      </c>
      <c r="D23003" s="1123" t="s">
        <v>15882</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15883</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15884</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15885</v>
      </c>
      <c r="E23012" s="1083">
        <v>90000</v>
      </c>
      <c r="F23012" s="1083"/>
      <c r="G23012" s="125">
        <f t="shared" si="661"/>
        <v>-90000</v>
      </c>
      <c r="H23012" s="704" t="s">
        <v>15860</v>
      </c>
    </row>
    <row r="23013" spans="1:8" ht="15" x14ac:dyDescent="0.2">
      <c r="A23013" s="1081">
        <v>45692</v>
      </c>
      <c r="B23013" s="1082" t="s">
        <v>3945</v>
      </c>
      <c r="C23013" s="1082" t="s">
        <v>793</v>
      </c>
      <c r="D23013" s="1123" t="s">
        <v>15886</v>
      </c>
      <c r="E23013" s="1083">
        <v>37670</v>
      </c>
      <c r="F23013" s="1083"/>
      <c r="G23013" s="125">
        <f t="shared" si="661"/>
        <v>-37670</v>
      </c>
      <c r="H23013" s="704" t="s">
        <v>15860</v>
      </c>
    </row>
    <row r="23014" spans="1:8" ht="15" x14ac:dyDescent="0.2">
      <c r="A23014" s="1081">
        <v>45692</v>
      </c>
      <c r="B23014" s="1082" t="s">
        <v>103</v>
      </c>
      <c r="C23014" s="1082" t="s">
        <v>793</v>
      </c>
      <c r="D23014" s="1123" t="s">
        <v>15887</v>
      </c>
      <c r="E23014" s="1083">
        <v>46000</v>
      </c>
      <c r="F23014" s="1083"/>
      <c r="G23014" s="125">
        <f t="shared" si="661"/>
        <v>-46000</v>
      </c>
      <c r="H23014" s="704" t="s">
        <v>15860</v>
      </c>
    </row>
    <row r="23015" spans="1:8" ht="15" x14ac:dyDescent="0.2">
      <c r="A23015" s="1081">
        <v>45692</v>
      </c>
      <c r="B23015" s="1082" t="s">
        <v>103</v>
      </c>
      <c r="C23015" s="1082" t="s">
        <v>793</v>
      </c>
      <c r="D23015" s="1123" t="s">
        <v>15888</v>
      </c>
      <c r="E23015" s="1083">
        <v>52250</v>
      </c>
      <c r="F23015" s="1083"/>
      <c r="G23015" s="125">
        <f t="shared" si="661"/>
        <v>-52250</v>
      </c>
      <c r="H23015" s="704" t="s">
        <v>15860</v>
      </c>
    </row>
    <row r="23016" spans="1:8" ht="15" x14ac:dyDescent="0.2">
      <c r="A23016" s="1081">
        <v>45692</v>
      </c>
      <c r="B23016" s="1082" t="s">
        <v>14718</v>
      </c>
      <c r="C23016" s="1082" t="s">
        <v>793</v>
      </c>
      <c r="D23016" s="1123" t="s">
        <v>15889</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15890</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15907</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15908</v>
      </c>
      <c r="E23021" s="1083">
        <v>20000</v>
      </c>
      <c r="F23021" s="1083"/>
      <c r="G23021" s="125">
        <f t="shared" si="663"/>
        <v>-20000</v>
      </c>
      <c r="H23021" s="704" t="s">
        <v>15860</v>
      </c>
    </row>
    <row r="23022" spans="1:8" ht="15" x14ac:dyDescent="0.2">
      <c r="A23022" s="1081">
        <v>45693</v>
      </c>
      <c r="B23022" s="1082" t="s">
        <v>15898</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15899</v>
      </c>
      <c r="E23023" s="1083">
        <v>124560</v>
      </c>
      <c r="F23023" s="1083"/>
      <c r="G23023" s="125">
        <f t="shared" si="664"/>
        <v>-124560</v>
      </c>
      <c r="H23023" s="704" t="s">
        <v>15860</v>
      </c>
    </row>
    <row r="23024" spans="1:8" ht="15" x14ac:dyDescent="0.2">
      <c r="A23024" s="1081">
        <v>45693</v>
      </c>
      <c r="B23024" s="1132" t="s">
        <v>15338</v>
      </c>
      <c r="C23024" s="1132" t="s">
        <v>1229</v>
      </c>
      <c r="D23024" s="1133" t="s">
        <v>15900</v>
      </c>
      <c r="E23024" s="1134">
        <v>187000</v>
      </c>
      <c r="F23024" s="1083"/>
      <c r="G23024" s="125">
        <f t="shared" si="664"/>
        <v>-187000</v>
      </c>
      <c r="H23024" s="704" t="s">
        <v>15860</v>
      </c>
    </row>
    <row r="23025" spans="1:8" ht="15" x14ac:dyDescent="0.2">
      <c r="A23025" s="1081">
        <v>45693</v>
      </c>
      <c r="B23025" s="1132" t="s">
        <v>12671</v>
      </c>
      <c r="C23025" s="1132" t="s">
        <v>1229</v>
      </c>
      <c r="D23025" s="1133" t="s">
        <v>15901</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15891</v>
      </c>
      <c r="E23028" s="1083">
        <v>3000</v>
      </c>
      <c r="F23028" s="1083"/>
      <c r="G23028" s="125">
        <f t="shared" si="665"/>
        <v>-3000</v>
      </c>
      <c r="H23028" s="704" t="s">
        <v>15860</v>
      </c>
    </row>
    <row r="23029" spans="1:8" ht="15" x14ac:dyDescent="0.2">
      <c r="A23029" s="1081">
        <v>45694</v>
      </c>
      <c r="B23029" s="1082" t="s">
        <v>13240</v>
      </c>
      <c r="C23029" s="1082" t="s">
        <v>793</v>
      </c>
      <c r="D23029" s="1123" t="s">
        <v>15892</v>
      </c>
      <c r="E23029" s="1083">
        <v>65140</v>
      </c>
      <c r="F23029" s="1083"/>
      <c r="G23029" s="125">
        <f t="shared" si="665"/>
        <v>-65140</v>
      </c>
      <c r="H23029" s="704" t="s">
        <v>15860</v>
      </c>
    </row>
    <row r="23030" spans="1:8" ht="15" x14ac:dyDescent="0.2">
      <c r="A23030" s="1081">
        <v>45694</v>
      </c>
      <c r="B23030" s="1082" t="s">
        <v>13240</v>
      </c>
      <c r="C23030" s="1082" t="s">
        <v>10972</v>
      </c>
      <c r="D23030" s="1123" t="s">
        <v>15893</v>
      </c>
      <c r="E23030" s="1083">
        <v>400</v>
      </c>
      <c r="F23030" s="1083"/>
      <c r="G23030" s="125">
        <f t="shared" si="665"/>
        <v>-400</v>
      </c>
      <c r="H23030" s="704" t="s">
        <v>15860</v>
      </c>
    </row>
    <row r="23031" spans="1:8" ht="15" x14ac:dyDescent="0.2">
      <c r="A23031" s="1081">
        <v>45694</v>
      </c>
      <c r="B23031" s="1082" t="s">
        <v>14351</v>
      </c>
      <c r="C23031" s="1082" t="s">
        <v>10972</v>
      </c>
      <c r="D23031" s="1123" t="s">
        <v>15894</v>
      </c>
      <c r="E23031" s="1083">
        <v>9200</v>
      </c>
      <c r="F23031" s="1083"/>
      <c r="G23031" s="125">
        <f t="shared" si="665"/>
        <v>-9200</v>
      </c>
      <c r="H23031" s="704" t="s">
        <v>15860</v>
      </c>
    </row>
    <row r="23032" spans="1:8" ht="15" x14ac:dyDescent="0.2">
      <c r="A23032" s="1081">
        <v>45694</v>
      </c>
      <c r="B23032" s="1082" t="s">
        <v>13240</v>
      </c>
      <c r="C23032" s="1082" t="s">
        <v>285</v>
      </c>
      <c r="D23032" s="1123" t="s">
        <v>15874</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15895</v>
      </c>
      <c r="E23035" s="1083">
        <v>8500</v>
      </c>
      <c r="F23035" s="1083"/>
      <c r="G23035" s="125">
        <f t="shared" si="665"/>
        <v>-8500</v>
      </c>
      <c r="H23035" s="704" t="s">
        <v>15860</v>
      </c>
    </row>
    <row r="23036" spans="1:8" ht="15" x14ac:dyDescent="0.2">
      <c r="A23036" s="1081">
        <v>45694</v>
      </c>
      <c r="B23036" s="1132" t="s">
        <v>14351</v>
      </c>
      <c r="C23036" s="1132" t="s">
        <v>793</v>
      </c>
      <c r="D23036" s="1133" t="s">
        <v>15896</v>
      </c>
      <c r="E23036" s="1134">
        <v>45000</v>
      </c>
      <c r="F23036" s="1083"/>
      <c r="G23036" s="125">
        <f t="shared" si="665"/>
        <v>-45000</v>
      </c>
      <c r="H23036" s="704" t="s">
        <v>15860</v>
      </c>
    </row>
    <row r="23037" spans="1:8" ht="15" x14ac:dyDescent="0.2">
      <c r="A23037" s="1081">
        <v>45694</v>
      </c>
      <c r="B23037" s="1132" t="s">
        <v>13240</v>
      </c>
      <c r="C23037" s="1132" t="s">
        <v>793</v>
      </c>
      <c r="D23037" s="1133" t="s">
        <v>15897</v>
      </c>
      <c r="E23037" s="1134">
        <v>74210</v>
      </c>
      <c r="F23037" s="1083"/>
      <c r="G23037" s="125">
        <f t="shared" si="665"/>
        <v>-74210</v>
      </c>
      <c r="H23037" s="704" t="s">
        <v>15860</v>
      </c>
    </row>
    <row r="23038" spans="1:8" ht="15" x14ac:dyDescent="0.2">
      <c r="A23038" s="1081">
        <v>45694</v>
      </c>
      <c r="B23038" s="1082" t="s">
        <v>11068</v>
      </c>
      <c r="C23038" s="1082" t="s">
        <v>10972</v>
      </c>
      <c r="D23038" s="1123" t="s">
        <v>15914</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15915</v>
      </c>
      <c r="E23039" s="1083">
        <v>383630</v>
      </c>
      <c r="F23039" s="1083"/>
      <c r="G23039" s="125">
        <f t="shared" si="666"/>
        <v>-383630</v>
      </c>
      <c r="H23039" s="704" t="s">
        <v>15860</v>
      </c>
    </row>
    <row r="23040" spans="1:8" ht="15" x14ac:dyDescent="0.2">
      <c r="A23040" s="1081">
        <v>45694</v>
      </c>
      <c r="B23040" s="1082" t="s">
        <v>15338</v>
      </c>
      <c r="C23040" s="1082" t="s">
        <v>793</v>
      </c>
      <c r="D23040" s="1123" t="s">
        <v>15916</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15917</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15918</v>
      </c>
      <c r="E23044" s="1083">
        <v>1000</v>
      </c>
      <c r="F23044" s="1083"/>
      <c r="G23044" s="125">
        <f t="shared" si="666"/>
        <v>-1000</v>
      </c>
      <c r="H23044" s="704" t="s">
        <v>15860</v>
      </c>
    </row>
    <row r="23045" spans="1:8" ht="15" x14ac:dyDescent="0.2">
      <c r="A23045" s="1081">
        <v>45694</v>
      </c>
      <c r="B23045" s="1082" t="s">
        <v>15430</v>
      </c>
      <c r="C23045" s="1082" t="s">
        <v>1229</v>
      </c>
      <c r="D23045" s="1123" t="s">
        <v>15902</v>
      </c>
      <c r="E23045" s="1083">
        <v>363419</v>
      </c>
      <c r="F23045" s="1083"/>
      <c r="G23045" s="125">
        <f t="shared" ref="G23045:G23128"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15903</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15905</v>
      </c>
      <c r="E23049" s="1083">
        <v>420000</v>
      </c>
      <c r="F23049" s="1083"/>
      <c r="G23049" s="125">
        <f t="shared" si="667"/>
        <v>-420000</v>
      </c>
      <c r="H23049" s="704" t="s">
        <v>15860</v>
      </c>
    </row>
    <row r="23050" spans="1:8" ht="15" x14ac:dyDescent="0.2">
      <c r="A23050" s="1081">
        <v>45694</v>
      </c>
      <c r="B23050" s="1082" t="s">
        <v>15338</v>
      </c>
      <c r="C23050" s="1082" t="s">
        <v>11993</v>
      </c>
      <c r="D23050" s="1123" t="s">
        <v>15906</v>
      </c>
      <c r="E23050" s="1083">
        <v>550000</v>
      </c>
      <c r="F23050" s="1083"/>
      <c r="G23050" s="125">
        <f t="shared" ref="G23050" si="668">F23050-E23050</f>
        <v>-550000</v>
      </c>
      <c r="H23050" s="704" t="s">
        <v>15860</v>
      </c>
    </row>
    <row r="23051" spans="1:8" ht="15" x14ac:dyDescent="0.2">
      <c r="A23051" s="1081">
        <v>45695</v>
      </c>
      <c r="B23051" s="1082" t="s">
        <v>15919</v>
      </c>
      <c r="C23051" s="1082" t="s">
        <v>10972</v>
      </c>
      <c r="D23051" s="1123" t="s">
        <v>15920</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15921</v>
      </c>
      <c r="E23055" s="1083">
        <v>9000</v>
      </c>
      <c r="F23055" s="1083"/>
      <c r="G23055" s="125">
        <f t="shared" si="669"/>
        <v>-9000</v>
      </c>
      <c r="H23055" s="704" t="s">
        <v>15860</v>
      </c>
    </row>
    <row r="23056" spans="1:8" ht="15" x14ac:dyDescent="0.2">
      <c r="A23056" s="1081">
        <v>45695</v>
      </c>
      <c r="B23056" s="1082" t="s">
        <v>15922</v>
      </c>
      <c r="C23056" s="1082" t="s">
        <v>793</v>
      </c>
      <c r="D23056" s="1123" t="s">
        <v>15923</v>
      </c>
      <c r="E23056" s="1083">
        <v>110000</v>
      </c>
      <c r="F23056" s="1083"/>
      <c r="G23056" s="125">
        <f t="shared" si="669"/>
        <v>-110000</v>
      </c>
      <c r="H23056" s="704" t="s">
        <v>15860</v>
      </c>
    </row>
    <row r="23057" spans="1:8" ht="15" x14ac:dyDescent="0.2">
      <c r="A23057" s="1081">
        <v>45694</v>
      </c>
      <c r="B23057" s="1082" t="s">
        <v>103</v>
      </c>
      <c r="C23057" s="1082" t="s">
        <v>793</v>
      </c>
      <c r="D23057" s="1123" t="s">
        <v>15924</v>
      </c>
      <c r="E23057" s="1083">
        <v>122500</v>
      </c>
      <c r="F23057" s="1083"/>
      <c r="G23057" s="125">
        <f t="shared" si="669"/>
        <v>-122500</v>
      </c>
      <c r="H23057" s="704" t="s">
        <v>15860</v>
      </c>
    </row>
    <row r="23058" spans="1:8" ht="15" x14ac:dyDescent="0.2">
      <c r="A23058" s="1081">
        <v>45695</v>
      </c>
      <c r="B23058" s="1082" t="s">
        <v>14718</v>
      </c>
      <c r="C23058" s="1082" t="s">
        <v>793</v>
      </c>
      <c r="D23058" s="1123" t="s">
        <v>15925</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15926</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15927</v>
      </c>
      <c r="D23062" s="905" t="s">
        <v>15931</v>
      </c>
      <c r="E23062" s="671">
        <v>350000</v>
      </c>
      <c r="F23062" s="1083"/>
      <c r="G23062" s="125">
        <f t="shared" ref="G23062:G23066" si="670">F23062-E23062</f>
        <v>-350000</v>
      </c>
      <c r="H23062" s="704" t="s">
        <v>15860</v>
      </c>
    </row>
    <row r="23063" spans="1:8" ht="15" x14ac:dyDescent="0.2">
      <c r="A23063" s="1081">
        <v>45695</v>
      </c>
      <c r="B23063" s="1082" t="s">
        <v>15100</v>
      </c>
      <c r="C23063" s="669" t="s">
        <v>15927</v>
      </c>
      <c r="D23063" s="905" t="s">
        <v>15931</v>
      </c>
      <c r="E23063" s="671">
        <v>350000</v>
      </c>
      <c r="F23063" s="1083"/>
      <c r="G23063" s="125">
        <f t="shared" si="670"/>
        <v>-350000</v>
      </c>
      <c r="H23063" s="704" t="s">
        <v>15860</v>
      </c>
    </row>
    <row r="23064" spans="1:8" ht="24" x14ac:dyDescent="0.2">
      <c r="A23064" s="1081">
        <v>45695</v>
      </c>
      <c r="B23064" s="1082" t="s">
        <v>14351</v>
      </c>
      <c r="C23064" s="1082" t="s">
        <v>15928</v>
      </c>
      <c r="D23064" s="1123" t="s">
        <v>15929</v>
      </c>
      <c r="E23064" s="1083">
        <v>50100</v>
      </c>
      <c r="F23064" s="1083"/>
      <c r="G23064" s="125">
        <f t="shared" si="670"/>
        <v>-50100</v>
      </c>
      <c r="H23064" s="704" t="s">
        <v>15860</v>
      </c>
    </row>
    <row r="23065" spans="1:8" ht="15" x14ac:dyDescent="0.2">
      <c r="A23065" s="1081">
        <v>45695</v>
      </c>
      <c r="B23065" s="1082" t="s">
        <v>11423</v>
      </c>
      <c r="C23065" s="669" t="s">
        <v>5680</v>
      </c>
      <c r="D23065" s="905" t="s">
        <v>15930</v>
      </c>
      <c r="E23065" s="671">
        <v>82756</v>
      </c>
      <c r="F23065" s="1083"/>
      <c r="G23065" s="125">
        <f t="shared" si="670"/>
        <v>-82756</v>
      </c>
      <c r="H23065" s="704" t="s">
        <v>15860</v>
      </c>
    </row>
    <row r="23066" spans="1:8" ht="15" x14ac:dyDescent="0.2">
      <c r="A23066" s="1081">
        <v>45695</v>
      </c>
      <c r="B23066" s="1082" t="s">
        <v>11707</v>
      </c>
      <c r="C23066" s="669" t="s">
        <v>5680</v>
      </c>
      <c r="D23066" s="905" t="s">
        <v>15930</v>
      </c>
      <c r="E23066" s="671">
        <v>7244</v>
      </c>
      <c r="F23066" s="1083"/>
      <c r="G23066" s="125">
        <f t="shared" si="670"/>
        <v>-7244</v>
      </c>
      <c r="H23066" s="704" t="s">
        <v>15860</v>
      </c>
    </row>
    <row r="23067" spans="1:8" ht="15" x14ac:dyDescent="0.2">
      <c r="A23067" s="1081">
        <v>45696</v>
      </c>
      <c r="B23067" s="1082" t="s">
        <v>14232</v>
      </c>
      <c r="C23067" s="1082" t="s">
        <v>793</v>
      </c>
      <c r="D23067" s="1123" t="s">
        <v>15932</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15933</v>
      </c>
      <c r="E23069" s="1083">
        <v>112100</v>
      </c>
      <c r="F23069" s="1083"/>
      <c r="G23069" s="125">
        <f t="shared" si="671"/>
        <v>-112100</v>
      </c>
      <c r="H23069" s="704" t="s">
        <v>15860</v>
      </c>
    </row>
    <row r="23070" spans="1:8" ht="15" x14ac:dyDescent="0.2">
      <c r="A23070" s="1081">
        <v>45696</v>
      </c>
      <c r="B23070" s="1082" t="s">
        <v>13213</v>
      </c>
      <c r="C23070" s="1082" t="s">
        <v>793</v>
      </c>
      <c r="D23070" s="1123" t="s">
        <v>15934</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15935</v>
      </c>
      <c r="E23072" s="1083">
        <v>88120</v>
      </c>
      <c r="F23072" s="1083"/>
      <c r="G23072" s="125">
        <f t="shared" si="671"/>
        <v>-88120</v>
      </c>
      <c r="H23072" s="704" t="s">
        <v>15860</v>
      </c>
    </row>
    <row r="23073" spans="1:8" ht="15" x14ac:dyDescent="0.2">
      <c r="A23073" s="1081">
        <v>45696</v>
      </c>
      <c r="B23073" s="1082" t="s">
        <v>37</v>
      </c>
      <c r="C23073" s="1082" t="s">
        <v>5740</v>
      </c>
      <c r="D23073" s="1123" t="s">
        <v>15936</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15937</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15942</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15943</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15945</v>
      </c>
      <c r="E23081" s="566">
        <v>18133</v>
      </c>
      <c r="F23081" s="1083"/>
      <c r="G23081" s="125">
        <f t="shared" si="674"/>
        <v>-18133</v>
      </c>
      <c r="H23081" s="704" t="s">
        <v>15860</v>
      </c>
    </row>
    <row r="23082" spans="1:8" ht="24" x14ac:dyDescent="0.2">
      <c r="A23082" s="1081">
        <v>45698</v>
      </c>
      <c r="B23082" s="1082" t="s">
        <v>15257</v>
      </c>
      <c r="C23082" s="565" t="s">
        <v>13714</v>
      </c>
      <c r="D23082" s="873" t="s">
        <v>15945</v>
      </c>
      <c r="E23082" s="566">
        <v>18134</v>
      </c>
      <c r="F23082" s="1083"/>
      <c r="G23082" s="125">
        <f t="shared" si="674"/>
        <v>-18134</v>
      </c>
      <c r="H23082" s="704" t="s">
        <v>15860</v>
      </c>
    </row>
    <row r="23083" spans="1:8" ht="24" x14ac:dyDescent="0.2">
      <c r="A23083" s="1081">
        <v>45698</v>
      </c>
      <c r="B23083" s="1082" t="s">
        <v>15260</v>
      </c>
      <c r="C23083" s="565" t="s">
        <v>13714</v>
      </c>
      <c r="D23083" s="873" t="s">
        <v>15945</v>
      </c>
      <c r="E23083" s="566">
        <v>18133</v>
      </c>
      <c r="F23083" s="1083"/>
      <c r="G23083" s="125">
        <f t="shared" si="674"/>
        <v>-18133</v>
      </c>
      <c r="H23083" s="704" t="s">
        <v>15860</v>
      </c>
    </row>
    <row r="23084" spans="1:8" ht="24" x14ac:dyDescent="0.2">
      <c r="A23084" s="1081">
        <v>45698</v>
      </c>
      <c r="B23084" s="1082" t="s">
        <v>15430</v>
      </c>
      <c r="C23084" s="1082" t="s">
        <v>3144</v>
      </c>
      <c r="D23084" s="1123" t="s">
        <v>15944</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15947</v>
      </c>
      <c r="D23086" s="1123" t="s">
        <v>15946</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15948</v>
      </c>
      <c r="E23087" s="1083">
        <v>28000</v>
      </c>
      <c r="F23087" s="1083"/>
      <c r="G23087" s="125">
        <f t="shared" si="675"/>
        <v>-28000</v>
      </c>
      <c r="H23087" s="704" t="s">
        <v>15860</v>
      </c>
    </row>
    <row r="23088" spans="1:8" ht="15" x14ac:dyDescent="0.2">
      <c r="A23088" s="1081">
        <v>45699</v>
      </c>
      <c r="B23088" s="1082" t="s">
        <v>12783</v>
      </c>
      <c r="C23088" s="1082" t="s">
        <v>14180</v>
      </c>
      <c r="D23088" s="1123" t="s">
        <v>15949</v>
      </c>
      <c r="E23088" s="1083">
        <v>496500</v>
      </c>
      <c r="F23088" s="1083"/>
      <c r="G23088" s="125">
        <f t="shared" ref="G23088" si="676">F23088-E23088</f>
        <v>-496500</v>
      </c>
      <c r="H23088" s="704" t="s">
        <v>15860</v>
      </c>
    </row>
    <row r="23089" spans="1:8" ht="15" x14ac:dyDescent="0.2">
      <c r="A23089" s="1081">
        <v>45699</v>
      </c>
      <c r="B23089" s="1082" t="s">
        <v>15100</v>
      </c>
      <c r="C23089" s="1082" t="s">
        <v>15950</v>
      </c>
      <c r="D23089" s="1123" t="s">
        <v>15951</v>
      </c>
      <c r="E23089" s="1083">
        <v>33000</v>
      </c>
      <c r="F23089" s="1083"/>
      <c r="G23089" s="125">
        <f t="shared" ref="G23089:G23091" si="677">F23089-E23089</f>
        <v>-33000</v>
      </c>
      <c r="H23089" s="704" t="s">
        <v>15860</v>
      </c>
    </row>
    <row r="23090" spans="1:8" ht="15" x14ac:dyDescent="0.2">
      <c r="A23090" s="1081">
        <v>45699</v>
      </c>
      <c r="B23090" s="1082" t="s">
        <v>37</v>
      </c>
      <c r="C23090" s="1082" t="s">
        <v>15056</v>
      </c>
      <c r="D23090" s="1123" t="s">
        <v>15952</v>
      </c>
      <c r="E23090" s="1083">
        <v>100000</v>
      </c>
      <c r="F23090" s="1083"/>
      <c r="G23090" s="125">
        <f t="shared" si="677"/>
        <v>-100000</v>
      </c>
      <c r="H23090" s="704" t="s">
        <v>15860</v>
      </c>
    </row>
    <row r="23091" spans="1:8" ht="15" x14ac:dyDescent="0.2">
      <c r="A23091" s="1081">
        <v>45699</v>
      </c>
      <c r="B23091" s="1082" t="s">
        <v>11068</v>
      </c>
      <c r="C23091" s="565" t="s">
        <v>1390</v>
      </c>
      <c r="D23091" s="873" t="s">
        <v>15996</v>
      </c>
      <c r="E23091" s="566">
        <v>33442</v>
      </c>
      <c r="F23091" s="1083"/>
      <c r="G23091" s="125">
        <f t="shared" si="677"/>
        <v>-33442</v>
      </c>
      <c r="H23091" s="704" t="s">
        <v>15860</v>
      </c>
    </row>
    <row r="23092" spans="1:8" ht="15" x14ac:dyDescent="0.2">
      <c r="A23092" s="1081">
        <v>45699</v>
      </c>
      <c r="B23092" s="1082" t="s">
        <v>12671</v>
      </c>
      <c r="C23092" s="565" t="s">
        <v>1390</v>
      </c>
      <c r="D23092" s="873" t="s">
        <v>15996</v>
      </c>
      <c r="E23092" s="566">
        <v>11859</v>
      </c>
      <c r="F23092" s="1083"/>
      <c r="G23092" s="125">
        <f t="shared" ref="G23092:G23097" si="678">F23092-E23092</f>
        <v>-11859</v>
      </c>
      <c r="H23092" s="704" t="s">
        <v>15860</v>
      </c>
    </row>
    <row r="23093" spans="1:8" ht="15" x14ac:dyDescent="0.2">
      <c r="A23093" s="1081">
        <v>45699</v>
      </c>
      <c r="B23093" s="1082" t="s">
        <v>13417</v>
      </c>
      <c r="C23093" s="565" t="s">
        <v>1390</v>
      </c>
      <c r="D23093" s="873" t="s">
        <v>15996</v>
      </c>
      <c r="E23093" s="566">
        <v>70363</v>
      </c>
      <c r="F23093" s="1083"/>
      <c r="G23093" s="125">
        <f t="shared" si="678"/>
        <v>-70363</v>
      </c>
      <c r="H23093" s="704" t="s">
        <v>15860</v>
      </c>
    </row>
    <row r="23094" spans="1:8" ht="15" x14ac:dyDescent="0.2">
      <c r="A23094" s="1081">
        <v>45699</v>
      </c>
      <c r="B23094" s="1082" t="s">
        <v>13278</v>
      </c>
      <c r="C23094" s="565" t="s">
        <v>1390</v>
      </c>
      <c r="D23094" s="873" t="s">
        <v>15996</v>
      </c>
      <c r="E23094" s="566">
        <v>3089</v>
      </c>
      <c r="F23094" s="1083"/>
      <c r="G23094" s="125">
        <f t="shared" si="678"/>
        <v>-3089</v>
      </c>
      <c r="H23094" s="704" t="s">
        <v>15860</v>
      </c>
    </row>
    <row r="23095" spans="1:8" ht="15" x14ac:dyDescent="0.2">
      <c r="A23095" s="1081">
        <v>45699</v>
      </c>
      <c r="B23095" s="1082" t="s">
        <v>14232</v>
      </c>
      <c r="C23095" s="565" t="s">
        <v>1390</v>
      </c>
      <c r="D23095" s="873" t="s">
        <v>15996</v>
      </c>
      <c r="E23095" s="566">
        <v>4850</v>
      </c>
      <c r="F23095" s="1083"/>
      <c r="G23095" s="125">
        <f t="shared" si="678"/>
        <v>-4850</v>
      </c>
      <c r="H23095" s="704" t="s">
        <v>15860</v>
      </c>
    </row>
    <row r="23096" spans="1:8" ht="15" x14ac:dyDescent="0.2">
      <c r="A23096" s="1081">
        <v>45699</v>
      </c>
      <c r="B23096" s="1082" t="s">
        <v>15260</v>
      </c>
      <c r="C23096" s="565" t="s">
        <v>1390</v>
      </c>
      <c r="D23096" s="873" t="s">
        <v>15996</v>
      </c>
      <c r="E23096" s="566">
        <v>2333</v>
      </c>
      <c r="F23096" s="1083"/>
      <c r="G23096" s="125">
        <f t="shared" si="678"/>
        <v>-2333</v>
      </c>
      <c r="H23096" s="704" t="s">
        <v>15860</v>
      </c>
    </row>
    <row r="23097" spans="1:8" ht="15" x14ac:dyDescent="0.2">
      <c r="A23097" s="1081">
        <v>45699</v>
      </c>
      <c r="B23097" s="1082" t="s">
        <v>14351</v>
      </c>
      <c r="C23097" s="1082" t="s">
        <v>437</v>
      </c>
      <c r="D23097" s="1123" t="s">
        <v>15953</v>
      </c>
      <c r="E23097" s="1083">
        <v>24064</v>
      </c>
      <c r="F23097" s="1083"/>
      <c r="G23097" s="125">
        <f t="shared" si="678"/>
        <v>-24064</v>
      </c>
      <c r="H23097" s="704" t="s">
        <v>15860</v>
      </c>
    </row>
    <row r="23098" spans="1:8" ht="24" x14ac:dyDescent="0.2">
      <c r="A23098" s="1081">
        <v>45700</v>
      </c>
      <c r="B23098" s="1082" t="s">
        <v>14351</v>
      </c>
      <c r="C23098" s="1082" t="s">
        <v>3144</v>
      </c>
      <c r="D23098" s="1123" t="s">
        <v>15967</v>
      </c>
      <c r="E23098" s="1083">
        <v>78400</v>
      </c>
      <c r="F23098" s="1083"/>
      <c r="G23098" s="125">
        <f t="shared" ref="G23098:G23100" si="679">F23098-E23098</f>
        <v>-78400</v>
      </c>
      <c r="H23098" s="704" t="s">
        <v>15860</v>
      </c>
    </row>
    <row r="23099" spans="1:8" ht="15" x14ac:dyDescent="0.2">
      <c r="A23099" s="1081">
        <v>45700</v>
      </c>
      <c r="B23099" s="1082" t="s">
        <v>12594</v>
      </c>
      <c r="C23099" s="1082" t="s">
        <v>7770</v>
      </c>
      <c r="D23099" s="1123" t="s">
        <v>15968</v>
      </c>
      <c r="E23099" s="1083">
        <v>100000</v>
      </c>
      <c r="F23099" s="1083"/>
      <c r="G23099" s="125">
        <f t="shared" si="679"/>
        <v>-100000</v>
      </c>
      <c r="H23099" s="704" t="s">
        <v>15860</v>
      </c>
    </row>
    <row r="23100" spans="1:8" ht="15" x14ac:dyDescent="0.2">
      <c r="A23100" s="1081">
        <v>45700</v>
      </c>
      <c r="B23100" s="1082" t="s">
        <v>14232</v>
      </c>
      <c r="C23100" s="1082" t="s">
        <v>15969</v>
      </c>
      <c r="D23100" s="1123" t="s">
        <v>15182</v>
      </c>
      <c r="E23100" s="1083">
        <v>535220</v>
      </c>
      <c r="F23100" s="1083"/>
      <c r="G23100" s="125">
        <f t="shared" si="679"/>
        <v>-535220</v>
      </c>
      <c r="H23100" s="704" t="s">
        <v>15860</v>
      </c>
    </row>
    <row r="23101" spans="1:8" ht="15" x14ac:dyDescent="0.2">
      <c r="A23101" s="1081">
        <v>45700</v>
      </c>
      <c r="B23101" s="1082" t="s">
        <v>14351</v>
      </c>
      <c r="C23101" s="1082" t="s">
        <v>5228</v>
      </c>
      <c r="D23101" s="1123" t="s">
        <v>15981</v>
      </c>
      <c r="E23101" s="1083">
        <v>25000</v>
      </c>
      <c r="F23101" s="1083"/>
      <c r="G23101" s="125">
        <f t="shared" ref="G23101:G23103" si="680">F23101-E23101</f>
        <v>-25000</v>
      </c>
      <c r="H23101" s="704" t="s">
        <v>15860</v>
      </c>
    </row>
    <row r="23102" spans="1:8" ht="15" x14ac:dyDescent="0.2">
      <c r="A23102" s="1081">
        <v>45700</v>
      </c>
      <c r="B23102" s="1082" t="s">
        <v>6503</v>
      </c>
      <c r="C23102" s="1082" t="s">
        <v>14296</v>
      </c>
      <c r="D23102" s="1123" t="s">
        <v>15982</v>
      </c>
      <c r="E23102" s="1083">
        <v>500000</v>
      </c>
      <c r="F23102" s="1083"/>
      <c r="G23102" s="125">
        <f t="shared" si="680"/>
        <v>-500000</v>
      </c>
      <c r="H23102" s="704" t="s">
        <v>15860</v>
      </c>
    </row>
    <row r="23103" spans="1:8" ht="15" x14ac:dyDescent="0.2">
      <c r="A23103" s="1081">
        <v>45700</v>
      </c>
      <c r="B23103" s="1082" t="s">
        <v>14351</v>
      </c>
      <c r="C23103" s="1082" t="s">
        <v>5228</v>
      </c>
      <c r="D23103" s="1123" t="s">
        <v>15981</v>
      </c>
      <c r="E23103" s="1083">
        <v>60000</v>
      </c>
      <c r="F23103" s="1083"/>
      <c r="G23103" s="125">
        <f t="shared" si="680"/>
        <v>-60000</v>
      </c>
      <c r="H23103" s="704" t="s">
        <v>15860</v>
      </c>
    </row>
    <row r="23104" spans="1:8" ht="15" x14ac:dyDescent="0.2">
      <c r="A23104" s="1081">
        <v>45701</v>
      </c>
      <c r="B23104" s="1082" t="s">
        <v>14351</v>
      </c>
      <c r="C23104" s="1082" t="s">
        <v>5740</v>
      </c>
      <c r="D23104" s="1123" t="s">
        <v>15974</v>
      </c>
      <c r="E23104" s="1083">
        <v>3000</v>
      </c>
      <c r="F23104" s="1083"/>
      <c r="G23104" s="125">
        <f t="shared" ref="G23104:G23117" si="681">F23104-E23104</f>
        <v>-3000</v>
      </c>
      <c r="H23104" s="704" t="s">
        <v>15860</v>
      </c>
    </row>
    <row r="23105" spans="1:8" ht="15" x14ac:dyDescent="0.2">
      <c r="A23105" s="1081">
        <v>45701</v>
      </c>
      <c r="B23105" s="1082" t="s">
        <v>15261</v>
      </c>
      <c r="C23105" s="1082" t="s">
        <v>5740</v>
      </c>
      <c r="D23105" s="1123" t="s">
        <v>15974</v>
      </c>
      <c r="E23105" s="1083">
        <v>1500</v>
      </c>
      <c r="F23105" s="1083"/>
      <c r="G23105" s="125">
        <f t="shared" si="681"/>
        <v>-1500</v>
      </c>
      <c r="H23105" s="704" t="s">
        <v>15860</v>
      </c>
    </row>
    <row r="23106" spans="1:8" ht="15" x14ac:dyDescent="0.2">
      <c r="A23106" s="1081">
        <v>45701</v>
      </c>
      <c r="B23106" s="1082" t="s">
        <v>14351</v>
      </c>
      <c r="C23106" s="1082" t="s">
        <v>5740</v>
      </c>
      <c r="D23106" s="1123" t="s">
        <v>14385</v>
      </c>
      <c r="E23106" s="1083">
        <v>1000</v>
      </c>
      <c r="F23106" s="1083"/>
      <c r="G23106" s="125">
        <f t="shared" si="681"/>
        <v>-1000</v>
      </c>
      <c r="H23106" s="704" t="s">
        <v>15860</v>
      </c>
    </row>
    <row r="23107" spans="1:8" ht="15" x14ac:dyDescent="0.2">
      <c r="A23107" s="1081">
        <v>45701</v>
      </c>
      <c r="B23107" s="1082" t="s">
        <v>14351</v>
      </c>
      <c r="C23107" s="1082" t="s">
        <v>10972</v>
      </c>
      <c r="D23107" s="1123" t="s">
        <v>15876</v>
      </c>
      <c r="E23107" s="1083">
        <v>4600</v>
      </c>
      <c r="F23107" s="1083"/>
      <c r="G23107" s="125">
        <f t="shared" si="681"/>
        <v>-4600</v>
      </c>
      <c r="H23107" s="704" t="s">
        <v>15860</v>
      </c>
    </row>
    <row r="23108" spans="1:8" ht="15" x14ac:dyDescent="0.2">
      <c r="A23108" s="1081">
        <v>45701</v>
      </c>
      <c r="B23108" s="1082" t="s">
        <v>103</v>
      </c>
      <c r="C23108" s="1082" t="s">
        <v>391</v>
      </c>
      <c r="D23108" s="1123" t="s">
        <v>10199</v>
      </c>
      <c r="E23108" s="1083">
        <v>5000</v>
      </c>
      <c r="F23108" s="1083"/>
      <c r="G23108" s="125">
        <f t="shared" si="681"/>
        <v>-5000</v>
      </c>
      <c r="H23108" s="704" t="s">
        <v>15860</v>
      </c>
    </row>
    <row r="23109" spans="1:8" ht="15" x14ac:dyDescent="0.2">
      <c r="A23109" s="1081">
        <v>45701</v>
      </c>
      <c r="B23109" s="1082" t="s">
        <v>103</v>
      </c>
      <c r="C23109" s="1082" t="s">
        <v>5340</v>
      </c>
      <c r="D23109" s="1123" t="s">
        <v>15975</v>
      </c>
      <c r="E23109" s="1083">
        <v>7500</v>
      </c>
      <c r="F23109" s="1083"/>
      <c r="G23109" s="125">
        <f t="shared" si="681"/>
        <v>-7500</v>
      </c>
      <c r="H23109" s="704" t="s">
        <v>15860</v>
      </c>
    </row>
    <row r="23110" spans="1:8" ht="15" x14ac:dyDescent="0.2">
      <c r="A23110" s="1081">
        <v>45701</v>
      </c>
      <c r="B23110" s="1082" t="s">
        <v>10351</v>
      </c>
      <c r="C23110" s="1082" t="s">
        <v>285</v>
      </c>
      <c r="D23110" s="1123" t="s">
        <v>15976</v>
      </c>
      <c r="E23110" s="1083">
        <v>3400</v>
      </c>
      <c r="F23110" s="1083"/>
      <c r="G23110" s="125">
        <f t="shared" si="681"/>
        <v>-3400</v>
      </c>
      <c r="H23110" s="704" t="s">
        <v>15860</v>
      </c>
    </row>
    <row r="23111" spans="1:8" ht="15" x14ac:dyDescent="0.2">
      <c r="A23111" s="1081">
        <v>45701</v>
      </c>
      <c r="B23111" s="1082" t="s">
        <v>14351</v>
      </c>
      <c r="C23111" s="1082" t="s">
        <v>10972</v>
      </c>
      <c r="D23111" s="1123" t="s">
        <v>15977</v>
      </c>
      <c r="E23111" s="1083">
        <v>8400</v>
      </c>
      <c r="F23111" s="1083"/>
      <c r="G23111" s="125">
        <f t="shared" si="681"/>
        <v>-8400</v>
      </c>
      <c r="H23111" s="704" t="s">
        <v>15860</v>
      </c>
    </row>
    <row r="23112" spans="1:8" ht="15" x14ac:dyDescent="0.2">
      <c r="A23112" s="1081">
        <v>45701</v>
      </c>
      <c r="B23112" s="1082" t="s">
        <v>15978</v>
      </c>
      <c r="C23112" s="1082" t="s">
        <v>5740</v>
      </c>
      <c r="D23112" s="1123" t="s">
        <v>369</v>
      </c>
      <c r="E23112" s="1083">
        <v>800</v>
      </c>
      <c r="F23112" s="1083"/>
      <c r="G23112" s="125">
        <f t="shared" si="681"/>
        <v>-800</v>
      </c>
      <c r="H23112" s="704" t="s">
        <v>15860</v>
      </c>
    </row>
    <row r="23113" spans="1:8" ht="15" x14ac:dyDescent="0.2">
      <c r="A23113" s="1081">
        <v>45701</v>
      </c>
      <c r="B23113" s="1082" t="s">
        <v>11068</v>
      </c>
      <c r="C23113" s="1082" t="s">
        <v>5740</v>
      </c>
      <c r="D23113" s="1123" t="s">
        <v>10325</v>
      </c>
      <c r="E23113" s="1083">
        <v>750</v>
      </c>
      <c r="F23113" s="1083"/>
      <c r="G23113" s="125">
        <f t="shared" si="681"/>
        <v>-750</v>
      </c>
      <c r="H23113" s="704" t="s">
        <v>15860</v>
      </c>
    </row>
    <row r="23114" spans="1:8" ht="15" x14ac:dyDescent="0.2">
      <c r="A23114" s="1081">
        <v>45701</v>
      </c>
      <c r="B23114" s="1082" t="s">
        <v>11068</v>
      </c>
      <c r="C23114" s="1082" t="s">
        <v>5740</v>
      </c>
      <c r="D23114" s="1123" t="s">
        <v>369</v>
      </c>
      <c r="E23114" s="1083">
        <v>700</v>
      </c>
      <c r="F23114" s="1083"/>
      <c r="G23114" s="125">
        <f t="shared" si="681"/>
        <v>-700</v>
      </c>
      <c r="H23114" s="704" t="s">
        <v>15860</v>
      </c>
    </row>
    <row r="23115" spans="1:8" ht="15" x14ac:dyDescent="0.2">
      <c r="A23115" s="1081">
        <v>45701</v>
      </c>
      <c r="B23115" s="1082" t="s">
        <v>103</v>
      </c>
      <c r="C23115" s="1082" t="s">
        <v>285</v>
      </c>
      <c r="D23115" s="1123" t="s">
        <v>15979</v>
      </c>
      <c r="E23115" s="1083">
        <v>500</v>
      </c>
      <c r="F23115" s="1083"/>
      <c r="G23115" s="125">
        <f t="shared" si="681"/>
        <v>-500</v>
      </c>
      <c r="H23115" s="704" t="s">
        <v>15860</v>
      </c>
    </row>
    <row r="23116" spans="1:8" ht="15" x14ac:dyDescent="0.2">
      <c r="A23116" s="1081">
        <v>45701</v>
      </c>
      <c r="B23116" s="1082" t="s">
        <v>14596</v>
      </c>
      <c r="C23116" s="1082" t="s">
        <v>5740</v>
      </c>
      <c r="D23116" s="1123" t="s">
        <v>369</v>
      </c>
      <c r="E23116" s="1083">
        <v>1000</v>
      </c>
      <c r="F23116" s="1083"/>
      <c r="G23116" s="125">
        <f t="shared" si="681"/>
        <v>-1000</v>
      </c>
      <c r="H23116" s="704" t="s">
        <v>15860</v>
      </c>
    </row>
    <row r="23117" spans="1:8" ht="15" x14ac:dyDescent="0.2">
      <c r="A23117" s="1081">
        <v>45701</v>
      </c>
      <c r="B23117" s="1082" t="s">
        <v>15261</v>
      </c>
      <c r="C23117" s="1082" t="s">
        <v>391</v>
      </c>
      <c r="D23117" s="1123" t="s">
        <v>15980</v>
      </c>
      <c r="E23117" s="1083">
        <v>2100</v>
      </c>
      <c r="F23117" s="1083"/>
      <c r="G23117" s="125">
        <f t="shared" si="681"/>
        <v>-2100</v>
      </c>
      <c r="H23117" s="704" t="s">
        <v>15860</v>
      </c>
    </row>
    <row r="23118" spans="1:8" ht="15" x14ac:dyDescent="0.2">
      <c r="A23118" s="1081">
        <v>45701</v>
      </c>
      <c r="B23118" s="1082" t="s">
        <v>13240</v>
      </c>
      <c r="C23118" s="1082" t="s">
        <v>15984</v>
      </c>
      <c r="D23118" s="1123" t="s">
        <v>15983</v>
      </c>
      <c r="E23118" s="1083">
        <v>50000</v>
      </c>
      <c r="F23118" s="1083"/>
      <c r="G23118" s="125">
        <f t="shared" ref="G23118" si="682">F23118-E23118</f>
        <v>-50000</v>
      </c>
      <c r="H23118" s="704" t="s">
        <v>15860</v>
      </c>
    </row>
    <row r="23119" spans="1:8" ht="15" x14ac:dyDescent="0.2">
      <c r="A23119" s="1081">
        <v>45701</v>
      </c>
      <c r="B23119" s="1082" t="s">
        <v>15966</v>
      </c>
      <c r="C23119" s="1082" t="s">
        <v>12605</v>
      </c>
      <c r="D23119" s="1123" t="s">
        <v>15970</v>
      </c>
      <c r="E23119" s="1083">
        <v>80000</v>
      </c>
      <c r="F23119" s="1083"/>
      <c r="G23119" s="125">
        <v>-481120.02000000048</v>
      </c>
      <c r="H23119" s="704" t="s">
        <v>15860</v>
      </c>
    </row>
    <row r="23120" spans="1:8" ht="15" x14ac:dyDescent="0.2">
      <c r="A23120" s="1081">
        <v>45701</v>
      </c>
      <c r="B23120" s="1082" t="s">
        <v>15400</v>
      </c>
      <c r="C23120" s="669" t="s">
        <v>15971</v>
      </c>
      <c r="D23120" s="905" t="s">
        <v>15972</v>
      </c>
      <c r="E23120" s="671">
        <v>20800</v>
      </c>
      <c r="F23120" s="1083"/>
      <c r="G23120" s="125">
        <v>-564385.02000000048</v>
      </c>
      <c r="H23120" s="704" t="s">
        <v>15860</v>
      </c>
    </row>
    <row r="23121" spans="1:8" ht="15" x14ac:dyDescent="0.2">
      <c r="A23121" s="1081">
        <v>45701</v>
      </c>
      <c r="B23121" s="1082" t="s">
        <v>15100</v>
      </c>
      <c r="C23121" s="669" t="s">
        <v>15971</v>
      </c>
      <c r="D23121" s="905" t="s">
        <v>15972</v>
      </c>
      <c r="E23121" s="671">
        <v>20800</v>
      </c>
      <c r="F23121" s="1083"/>
      <c r="G23121" s="125">
        <v>-564385.02000000048</v>
      </c>
      <c r="H23121" s="704" t="s">
        <v>15860</v>
      </c>
    </row>
    <row r="23122" spans="1:8" ht="15" x14ac:dyDescent="0.2">
      <c r="A23122" s="1081">
        <v>45701</v>
      </c>
      <c r="B23122" s="1082" t="s">
        <v>15004</v>
      </c>
      <c r="C23122" s="669" t="s">
        <v>15971</v>
      </c>
      <c r="D23122" s="905" t="s">
        <v>15972</v>
      </c>
      <c r="E23122" s="671">
        <v>20800</v>
      </c>
      <c r="F23122" s="1083"/>
      <c r="G23122" s="125">
        <v>-564385.02000000048</v>
      </c>
      <c r="H23122" s="704" t="s">
        <v>15860</v>
      </c>
    </row>
    <row r="23123" spans="1:8" ht="15" x14ac:dyDescent="0.2">
      <c r="A23123" s="1081">
        <v>45701</v>
      </c>
      <c r="B23123" s="1082" t="s">
        <v>15337</v>
      </c>
      <c r="C23123" s="669" t="s">
        <v>15971</v>
      </c>
      <c r="D23123" s="905" t="s">
        <v>15972</v>
      </c>
      <c r="E23123" s="671">
        <v>20865</v>
      </c>
      <c r="F23123" s="1083"/>
      <c r="G23123" s="125">
        <v>-564385.02000000048</v>
      </c>
      <c r="H23123" s="704" t="s">
        <v>15860</v>
      </c>
    </row>
    <row r="23124" spans="1:8" ht="15" x14ac:dyDescent="0.2">
      <c r="A23124" s="1081">
        <v>45701</v>
      </c>
      <c r="B23124" s="1082" t="s">
        <v>13240</v>
      </c>
      <c r="C23124" s="565" t="s">
        <v>483</v>
      </c>
      <c r="D23124" s="873" t="s">
        <v>15973</v>
      </c>
      <c r="E23124" s="566">
        <v>50000</v>
      </c>
      <c r="F23124" s="1083"/>
      <c r="G23124" s="125">
        <v>-664385.02000000048</v>
      </c>
      <c r="H23124" s="704" t="s">
        <v>15860</v>
      </c>
    </row>
    <row r="23125" spans="1:8" ht="15" x14ac:dyDescent="0.2">
      <c r="A23125" s="1081">
        <v>45701</v>
      </c>
      <c r="B23125" s="1082" t="s">
        <v>13278</v>
      </c>
      <c r="C23125" s="565" t="s">
        <v>483</v>
      </c>
      <c r="D23125" s="873" t="s">
        <v>15973</v>
      </c>
      <c r="E23125" s="566">
        <v>50000</v>
      </c>
      <c r="F23125" s="1083"/>
      <c r="G23125" s="125">
        <v>-664385.02000000048</v>
      </c>
      <c r="H23125" s="704" t="s">
        <v>15860</v>
      </c>
    </row>
    <row r="23126" spans="1:8" ht="15" x14ac:dyDescent="0.2">
      <c r="A23126" s="732">
        <v>45692</v>
      </c>
      <c r="B23126" s="173" t="s">
        <v>14351</v>
      </c>
      <c r="C23126" s="173" t="s">
        <v>14431</v>
      </c>
      <c r="D23126" s="227" t="s">
        <v>15904</v>
      </c>
      <c r="E23126" s="235">
        <v>300000</v>
      </c>
      <c r="F23126" s="235"/>
      <c r="G23126" s="235">
        <f t="shared" si="667"/>
        <v>-300000</v>
      </c>
      <c r="H23126" s="708" t="s">
        <v>15860</v>
      </c>
    </row>
    <row r="23127" spans="1:8" ht="15" x14ac:dyDescent="0.2">
      <c r="A23127" s="732">
        <v>45699</v>
      </c>
      <c r="B23127" s="173" t="s">
        <v>25</v>
      </c>
      <c r="C23127" s="173" t="s">
        <v>2427</v>
      </c>
      <c r="D23127" s="227" t="s">
        <v>15959</v>
      </c>
      <c r="E23127" s="235">
        <v>59000</v>
      </c>
      <c r="F23127" s="235"/>
      <c r="G23127" s="235">
        <f t="shared" si="667"/>
        <v>-59000</v>
      </c>
      <c r="H23127" s="708" t="s">
        <v>15860</v>
      </c>
    </row>
    <row r="23128" spans="1:8" ht="15" x14ac:dyDescent="0.2">
      <c r="A23128" s="732">
        <v>45699</v>
      </c>
      <c r="B23128" s="173" t="s">
        <v>12594</v>
      </c>
      <c r="C23128" s="173" t="s">
        <v>3103</v>
      </c>
      <c r="D23128" s="227" t="s">
        <v>15960</v>
      </c>
      <c r="E23128" s="235">
        <v>100000</v>
      </c>
      <c r="F23128" s="235"/>
      <c r="G23128" s="235">
        <f t="shared" si="667"/>
        <v>-100000</v>
      </c>
      <c r="H23128" s="708" t="s">
        <v>15860</v>
      </c>
    </row>
    <row r="23129" spans="1:8" ht="15" x14ac:dyDescent="0.2">
      <c r="A23129" s="729">
        <v>45692</v>
      </c>
      <c r="B23129" s="93" t="s">
        <v>3945</v>
      </c>
      <c r="C23129" s="93" t="s">
        <v>558</v>
      </c>
      <c r="D23129" s="800" t="s">
        <v>15857</v>
      </c>
      <c r="E23129" s="175"/>
      <c r="F23129" s="175">
        <v>401676</v>
      </c>
      <c r="G23129" s="175">
        <f t="shared" si="654"/>
        <v>401676</v>
      </c>
      <c r="H23129" s="701" t="s">
        <v>15860</v>
      </c>
    </row>
    <row r="23130" spans="1:8" ht="26.25" customHeight="1" x14ac:dyDescent="0.2">
      <c r="A23130" s="729">
        <v>45692</v>
      </c>
      <c r="B23130" s="93" t="s">
        <v>37</v>
      </c>
      <c r="C23130" s="93" t="s">
        <v>558</v>
      </c>
      <c r="D23130" s="896" t="s">
        <v>15938</v>
      </c>
      <c r="E23130" s="642">
        <v>20000</v>
      </c>
      <c r="F23130" s="175"/>
      <c r="G23130" s="175">
        <f t="shared" ref="G23130" si="683">F23130-E23130</f>
        <v>-20000</v>
      </c>
      <c r="H23130" s="701" t="s">
        <v>15860</v>
      </c>
    </row>
    <row r="23131" spans="1:8" ht="15" x14ac:dyDescent="0.2">
      <c r="A23131" s="729">
        <v>45692</v>
      </c>
      <c r="B23131" s="93" t="s">
        <v>11604</v>
      </c>
      <c r="C23131" s="93" t="s">
        <v>558</v>
      </c>
      <c r="D23131" s="800" t="s">
        <v>15859</v>
      </c>
      <c r="E23131" s="175"/>
      <c r="F23131" s="175">
        <v>1422198</v>
      </c>
      <c r="G23131" s="175">
        <f t="shared" ref="G23131" si="684">F23131-E23131</f>
        <v>1422198</v>
      </c>
      <c r="H23131" s="701" t="s">
        <v>15860</v>
      </c>
    </row>
    <row r="23132" spans="1:8" ht="24" x14ac:dyDescent="0.2">
      <c r="A23132" s="729">
        <v>45701</v>
      </c>
      <c r="B23132" s="93" t="s">
        <v>15380</v>
      </c>
      <c r="C23132" s="93" t="s">
        <v>558</v>
      </c>
      <c r="D23132" s="800" t="s">
        <v>15963</v>
      </c>
      <c r="E23132" s="175"/>
      <c r="F23132" s="175">
        <v>1000000</v>
      </c>
      <c r="G23132" s="175">
        <f t="shared" ref="G23132" si="685">F23132-E23132</f>
        <v>1000000</v>
      </c>
      <c r="H23132" s="701" t="s">
        <v>15860</v>
      </c>
    </row>
    <row r="23133" spans="1:8" ht="24" x14ac:dyDescent="0.2">
      <c r="A23133" s="729">
        <v>45701</v>
      </c>
      <c r="B23133" s="93" t="s">
        <v>12251</v>
      </c>
      <c r="C23133" s="93" t="s">
        <v>558</v>
      </c>
      <c r="D23133" s="800" t="s">
        <v>15964</v>
      </c>
      <c r="E23133" s="175"/>
      <c r="F23133" s="175">
        <v>400000</v>
      </c>
      <c r="G23133" s="175">
        <f t="shared" ref="G23133" si="686">F23133-E23133</f>
        <v>400000</v>
      </c>
      <c r="H23133" s="701" t="s">
        <v>15860</v>
      </c>
    </row>
    <row r="23134" spans="1:8" ht="24" x14ac:dyDescent="0.2">
      <c r="A23134" s="729">
        <v>45701</v>
      </c>
      <c r="B23134" s="93" t="s">
        <v>12251</v>
      </c>
      <c r="C23134" s="93" t="s">
        <v>558</v>
      </c>
      <c r="D23134" s="800" t="s">
        <v>15964</v>
      </c>
      <c r="E23134" s="175"/>
      <c r="F23134" s="175">
        <v>500000</v>
      </c>
      <c r="G23134" s="175">
        <f t="shared" ref="G23134:G23138" si="687">F23134-E23134</f>
        <v>500000</v>
      </c>
      <c r="H23134" s="701" t="s">
        <v>15860</v>
      </c>
    </row>
    <row r="23135" spans="1:8" ht="24" x14ac:dyDescent="0.2">
      <c r="A23135" s="729">
        <v>45701</v>
      </c>
      <c r="B23135" s="93" t="s">
        <v>12251</v>
      </c>
      <c r="C23135" s="93" t="s">
        <v>558</v>
      </c>
      <c r="D23135" s="800" t="s">
        <v>15964</v>
      </c>
      <c r="E23135" s="175"/>
      <c r="F23135" s="175">
        <v>500000</v>
      </c>
      <c r="G23135" s="175">
        <f t="shared" si="687"/>
        <v>500000</v>
      </c>
      <c r="H23135" s="701" t="s">
        <v>15860</v>
      </c>
    </row>
    <row r="23136" spans="1:8" ht="24" x14ac:dyDescent="0.2">
      <c r="A23136" s="729">
        <v>45701</v>
      </c>
      <c r="B23136" s="93" t="s">
        <v>12251</v>
      </c>
      <c r="C23136" s="93" t="s">
        <v>558</v>
      </c>
      <c r="D23136" s="800" t="s">
        <v>15964</v>
      </c>
      <c r="E23136" s="175"/>
      <c r="F23136" s="175">
        <v>350000</v>
      </c>
      <c r="G23136" s="175">
        <f t="shared" si="687"/>
        <v>350000</v>
      </c>
      <c r="H23136" s="701" t="s">
        <v>15860</v>
      </c>
    </row>
    <row r="23137" spans="1:8" ht="24" x14ac:dyDescent="0.2">
      <c r="A23137" s="729">
        <v>45701</v>
      </c>
      <c r="B23137" s="93" t="s">
        <v>12251</v>
      </c>
      <c r="C23137" s="93" t="s">
        <v>558</v>
      </c>
      <c r="D23137" s="800" t="s">
        <v>15964</v>
      </c>
      <c r="E23137" s="175"/>
      <c r="F23137" s="175">
        <v>300000</v>
      </c>
      <c r="G23137" s="175">
        <f t="shared" si="687"/>
        <v>300000</v>
      </c>
      <c r="H23137" s="701" t="s">
        <v>15860</v>
      </c>
    </row>
    <row r="23138" spans="1:8" ht="24" x14ac:dyDescent="0.2">
      <c r="A23138" s="729">
        <v>45701</v>
      </c>
      <c r="B23138" s="93" t="s">
        <v>12251</v>
      </c>
      <c r="C23138" s="93" t="s">
        <v>558</v>
      </c>
      <c r="D23138" s="800" t="s">
        <v>15964</v>
      </c>
      <c r="E23138" s="175"/>
      <c r="F23138" s="175">
        <v>650000</v>
      </c>
      <c r="G23138" s="175">
        <f t="shared" si="687"/>
        <v>650000</v>
      </c>
      <c r="H23138" s="701" t="s">
        <v>15860</v>
      </c>
    </row>
  </sheetData>
  <autoFilter ref="A1:P2313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3" sqref="C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5" t="s">
        <v>1766</v>
      </c>
      <c r="I4" s="1185"/>
      <c r="J4" s="1185"/>
    </row>
    <row r="5" spans="1:11" ht="24" thickBot="1" x14ac:dyDescent="0.35">
      <c r="A5" s="1162" t="s">
        <v>4136</v>
      </c>
      <c r="B5" s="1163" t="s">
        <v>4133</v>
      </c>
      <c r="C5" s="1163" t="s">
        <v>4134</v>
      </c>
      <c r="D5" s="1163" t="s">
        <v>4135</v>
      </c>
      <c r="E5" s="346"/>
      <c r="H5" s="1185"/>
      <c r="I5" s="1185"/>
      <c r="J5" s="1185"/>
      <c r="K5" s="1012" t="s">
        <v>10848</v>
      </c>
    </row>
    <row r="6" spans="1:11" ht="26.25" x14ac:dyDescent="0.4">
      <c r="A6" s="737" t="s">
        <v>15100</v>
      </c>
      <c r="B6" s="738">
        <v>1915146</v>
      </c>
      <c r="C6" s="738"/>
      <c r="D6" s="738">
        <v>-2458731.0200000005</v>
      </c>
      <c r="F6" s="696" t="s">
        <v>155</v>
      </c>
      <c r="G6" s="697" t="s">
        <v>2612</v>
      </c>
      <c r="H6" s="697" t="s">
        <v>7679</v>
      </c>
      <c r="I6" s="696" t="s">
        <v>2614</v>
      </c>
    </row>
    <row r="7" spans="1:11" ht="26.25" x14ac:dyDescent="0.4">
      <c r="A7" s="737" t="s">
        <v>15310</v>
      </c>
      <c r="B7" s="738">
        <v>5736900</v>
      </c>
      <c r="C7" s="738"/>
      <c r="D7" s="738">
        <v>-5736900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4007893</v>
      </c>
      <c r="C8" s="738"/>
      <c r="D8" s="738">
        <v>-4007893</v>
      </c>
      <c r="F8" s="694" t="s">
        <v>4720</v>
      </c>
      <c r="G8" s="695">
        <f t="shared" si="0"/>
        <v>10795233.041129032</v>
      </c>
      <c r="H8" s="695">
        <f>VLOOKUP(F8,'Project wise Supplier balance'!$A$6:$D$91,4,0)</f>
        <v>0</v>
      </c>
      <c r="I8" s="692">
        <f t="shared" si="1"/>
        <v>10795233.041129032</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348066</v>
      </c>
      <c r="C11" s="738">
        <v>369216</v>
      </c>
      <c r="D11" s="738">
        <v>21150</v>
      </c>
      <c r="F11" s="694" t="s">
        <v>7124</v>
      </c>
      <c r="G11" s="695">
        <f t="shared" si="0"/>
        <v>27649</v>
      </c>
      <c r="H11" s="695" t="e">
        <f>VLOOKUP(F11,'Project wise Supplier balance'!$A$6:$D$91,4,0)</f>
        <v>#N/A</v>
      </c>
      <c r="I11" s="692" t="e">
        <f t="shared" si="1"/>
        <v>#N/A</v>
      </c>
    </row>
    <row r="12" spans="1:11" ht="26.25" x14ac:dyDescent="0.4">
      <c r="A12" s="737" t="s">
        <v>15261</v>
      </c>
      <c r="B12" s="738">
        <v>2077923</v>
      </c>
      <c r="C12" s="738">
        <v>1249314</v>
      </c>
      <c r="D12" s="738">
        <v>-828609</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4345924</v>
      </c>
      <c r="C14" s="738">
        <v>8508670</v>
      </c>
      <c r="D14" s="738">
        <v>3619225.9799999995</v>
      </c>
      <c r="F14" s="694" t="s">
        <v>6516</v>
      </c>
      <c r="G14" s="695">
        <f t="shared" si="0"/>
        <v>1915801.3763440857</v>
      </c>
      <c r="H14" s="695" t="e">
        <f>VLOOKUP(F14,'Project wise Supplier balance'!$A$6:$D$91,4,0)</f>
        <v>#N/A</v>
      </c>
      <c r="I14" s="692" t="e">
        <f t="shared" si="1"/>
        <v>#N/A</v>
      </c>
    </row>
    <row r="15" spans="1:11" ht="26.25" x14ac:dyDescent="0.4">
      <c r="A15" s="737" t="s">
        <v>14596</v>
      </c>
      <c r="B15" s="738">
        <v>3458535.166666667</v>
      </c>
      <c r="C15" s="738">
        <v>5370002</v>
      </c>
      <c r="D15" s="738">
        <v>1911466.833333333</v>
      </c>
      <c r="F15" s="694" t="s">
        <v>6506</v>
      </c>
      <c r="G15" s="695">
        <f t="shared" si="0"/>
        <v>2113933</v>
      </c>
      <c r="H15" s="695" t="e">
        <f>VLOOKUP(F15,'Project wise Supplier balance'!$A$6:$D$91,4,0)</f>
        <v>#N/A</v>
      </c>
      <c r="I15" s="692" t="e">
        <f t="shared" si="1"/>
        <v>#N/A</v>
      </c>
    </row>
    <row r="16" spans="1:11" ht="26.25" x14ac:dyDescent="0.4">
      <c r="A16" s="737" t="s">
        <v>14539</v>
      </c>
      <c r="B16" s="738">
        <v>7949954</v>
      </c>
      <c r="C16" s="738">
        <v>5042256</v>
      </c>
      <c r="D16" s="738">
        <v>-2907698</v>
      </c>
      <c r="F16" s="694" t="s">
        <v>6503</v>
      </c>
      <c r="G16" s="695">
        <f t="shared" si="0"/>
        <v>5253807.1117511522</v>
      </c>
      <c r="H16" s="695">
        <f>VLOOKUP(F16,'Project wise Supplier balance'!$A$6:$D$91,4,0)</f>
        <v>1578265</v>
      </c>
      <c r="I16" s="692">
        <f t="shared" si="1"/>
        <v>3675542.1117511522</v>
      </c>
    </row>
    <row r="17" spans="1:9" ht="26.25" x14ac:dyDescent="0.4">
      <c r="A17" s="737" t="s">
        <v>14351</v>
      </c>
      <c r="B17" s="738">
        <v>11635495</v>
      </c>
      <c r="C17" s="738">
        <v>4500001</v>
      </c>
      <c r="D17" s="738">
        <v>-7135494</v>
      </c>
      <c r="F17" s="694" t="s">
        <v>7553</v>
      </c>
      <c r="G17" s="695">
        <f t="shared" si="0"/>
        <v>2263410.5322580645</v>
      </c>
      <c r="H17" s="695" t="e">
        <f>VLOOKUP(F17,'Project wise Supplier balance'!$A$6:$D$91,4,0)</f>
        <v>#N/A</v>
      </c>
      <c r="I17" s="692" t="e">
        <f t="shared" si="1"/>
        <v>#N/A</v>
      </c>
    </row>
    <row r="18" spans="1:9" ht="26.25" x14ac:dyDescent="0.4">
      <c r="A18" s="737" t="s">
        <v>14334</v>
      </c>
      <c r="B18" s="738">
        <v>7497460</v>
      </c>
      <c r="C18" s="738">
        <v>4009600</v>
      </c>
      <c r="D18" s="738">
        <v>-4031445.0200000005</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8963277</v>
      </c>
      <c r="C20" s="738"/>
      <c r="D20" s="738">
        <v>-8963277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770397</v>
      </c>
      <c r="C24" s="738">
        <v>2148981</v>
      </c>
      <c r="D24" s="738">
        <v>1378584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5880944</v>
      </c>
      <c r="C27" s="738">
        <v>8097014</v>
      </c>
      <c r="D27" s="738">
        <v>2216070</v>
      </c>
    </row>
    <row r="28" spans="1:9" ht="26.25" x14ac:dyDescent="0.4">
      <c r="A28" s="737" t="s">
        <v>13278</v>
      </c>
      <c r="B28" s="738">
        <v>3549052</v>
      </c>
      <c r="C28" s="738">
        <v>2900094</v>
      </c>
      <c r="D28" s="738">
        <v>-1263343.0200000005</v>
      </c>
    </row>
    <row r="29" spans="1:9" ht="26.25" x14ac:dyDescent="0.4">
      <c r="A29" s="737" t="s">
        <v>13240</v>
      </c>
      <c r="B29" s="738">
        <v>10650295</v>
      </c>
      <c r="C29" s="738">
        <v>8907586</v>
      </c>
      <c r="D29" s="738">
        <v>-2357094.0200000005</v>
      </c>
    </row>
    <row r="30" spans="1:9" ht="26.25" x14ac:dyDescent="0.4">
      <c r="A30" s="737" t="s">
        <v>13165</v>
      </c>
      <c r="B30" s="738">
        <v>17162578</v>
      </c>
      <c r="C30" s="738">
        <v>6001008</v>
      </c>
      <c r="D30" s="738">
        <v>-11161570</v>
      </c>
    </row>
    <row r="31" spans="1:9" ht="26.25" x14ac:dyDescent="0.4">
      <c r="A31" s="737" t="s">
        <v>13213</v>
      </c>
      <c r="B31" s="738">
        <v>34110145</v>
      </c>
      <c r="C31" s="738">
        <v>27277412</v>
      </c>
      <c r="D31" s="738">
        <v>-6832733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10860805.35483871</v>
      </c>
      <c r="C35" s="738">
        <v>9227916</v>
      </c>
      <c r="D35" s="738">
        <v>-1632889.3548387098</v>
      </c>
    </row>
    <row r="36" spans="1:9" ht="26.25" x14ac:dyDescent="0.4">
      <c r="A36" s="737" t="s">
        <v>12654</v>
      </c>
      <c r="B36" s="738">
        <v>195480</v>
      </c>
      <c r="C36" s="738"/>
      <c r="D36" s="738">
        <v>-195480</v>
      </c>
    </row>
    <row r="37" spans="1:9" ht="26.25" x14ac:dyDescent="0.4">
      <c r="A37" s="737" t="s">
        <v>12783</v>
      </c>
      <c r="B37" s="738">
        <v>2899511</v>
      </c>
      <c r="C37" s="738">
        <v>5009855</v>
      </c>
      <c r="D37" s="738">
        <v>2110344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16439318.274193548</v>
      </c>
      <c r="C42" s="738">
        <v>26712556</v>
      </c>
      <c r="D42" s="738">
        <v>10273237.725806452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18696627.922091208</v>
      </c>
      <c r="C47" s="738">
        <v>25222344.821199998</v>
      </c>
      <c r="D47" s="738">
        <v>6525716.899108788</v>
      </c>
      <c r="G47" s="693"/>
      <c r="H47" s="693"/>
    </row>
    <row r="48" spans="1:9" s="290" customFormat="1" ht="26.25" x14ac:dyDescent="0.4">
      <c r="A48" s="737" t="s">
        <v>11423</v>
      </c>
      <c r="B48" s="738">
        <v>7603293</v>
      </c>
      <c r="C48" s="738">
        <v>11253125</v>
      </c>
      <c r="D48" s="738">
        <v>3649832</v>
      </c>
      <c r="G48" s="693"/>
      <c r="H48" s="693"/>
    </row>
    <row r="49" spans="1:8" s="290" customFormat="1" ht="26.25" x14ac:dyDescent="0.4">
      <c r="A49" s="737" t="s">
        <v>7801</v>
      </c>
      <c r="B49" s="738">
        <v>6086551.935483871</v>
      </c>
      <c r="C49" s="738">
        <v>9158251</v>
      </c>
      <c r="D49" s="738">
        <v>3071699.064516129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56936719</v>
      </c>
      <c r="D55" s="738">
        <v>21556274.666666668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45538529.629032262</v>
      </c>
      <c r="C63" s="738">
        <v>50043150</v>
      </c>
      <c r="D63" s="738">
        <v>4504620.3709677421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2475860.1605222733</v>
      </c>
      <c r="C84" s="1165">
        <v>4096750</v>
      </c>
      <c r="D84" s="1165">
        <v>1630889.8394777267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19799674.615667541</v>
      </c>
      <c r="C90" s="1165">
        <v>24122386</v>
      </c>
      <c r="D90" s="1165">
        <v>4340542.3843324576</v>
      </c>
      <c r="G90" s="693"/>
      <c r="H90" s="693"/>
    </row>
    <row r="91" spans="1:8" s="290" customFormat="1" ht="26.25" x14ac:dyDescent="0.4">
      <c r="A91" s="1166" t="s">
        <v>3944</v>
      </c>
      <c r="B91" s="1165">
        <v>11602863.798165288</v>
      </c>
      <c r="C91" s="1165">
        <v>19172426</v>
      </c>
      <c r="D91" s="1165">
        <v>7572941.2340927767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7244388.9715821808</v>
      </c>
      <c r="C98" s="1165">
        <v>12473768.75</v>
      </c>
      <c r="D98" s="1165">
        <v>5253807.1117511522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144600</v>
      </c>
      <c r="C113" s="1165"/>
      <c r="D113" s="1165">
        <v>-144600</v>
      </c>
    </row>
    <row r="114" spans="1:4" ht="26.25" x14ac:dyDescent="0.4">
      <c r="A114" s="1166" t="s">
        <v>1492</v>
      </c>
      <c r="B114" s="1165">
        <v>1943741.4677419357</v>
      </c>
      <c r="C114" s="1165">
        <v>3015886</v>
      </c>
      <c r="D114" s="1165">
        <v>1072144.5322580645</v>
      </c>
    </row>
    <row r="115" spans="1:4" ht="26.25" x14ac:dyDescent="0.4">
      <c r="A115" s="1166" t="s">
        <v>37</v>
      </c>
      <c r="B115" s="1165">
        <v>19207661.706935216</v>
      </c>
      <c r="C115" s="1165">
        <v>27623664</v>
      </c>
      <c r="D115" s="1165">
        <v>8406654.8468282185</v>
      </c>
    </row>
    <row r="116" spans="1:4" ht="26.25" x14ac:dyDescent="0.4">
      <c r="A116" s="1166" t="s">
        <v>11</v>
      </c>
      <c r="B116" s="1165">
        <v>2191386.2044930877</v>
      </c>
      <c r="C116" s="1165">
        <v>1656000</v>
      </c>
      <c r="D116" s="1165">
        <v>-540386.20449308748</v>
      </c>
    </row>
    <row r="117" spans="1:4" ht="26.25" x14ac:dyDescent="0.4">
      <c r="A117" s="1166" t="s">
        <v>25</v>
      </c>
      <c r="B117" s="1165">
        <v>21911260.887096774</v>
      </c>
      <c r="C117" s="1165"/>
      <c r="D117" s="1165">
        <v>-21901260.887096774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30660427.745294284</v>
      </c>
      <c r="C120" s="1165">
        <v>50000</v>
      </c>
      <c r="D120" s="1165">
        <v>-30610468.938842669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13400</v>
      </c>
      <c r="C139" s="1165"/>
      <c r="D139" s="1165">
        <v>-13400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15004</v>
      </c>
      <c r="B150" s="1165">
        <v>525841</v>
      </c>
      <c r="C150" s="1165">
        <v>800000</v>
      </c>
      <c r="D150" s="1165">
        <v>-269426.02000000048</v>
      </c>
    </row>
    <row r="151" spans="1:4" ht="26.25" x14ac:dyDescent="0.4">
      <c r="A151" s="1164" t="s">
        <v>15156</v>
      </c>
      <c r="B151" s="1165">
        <v>120370</v>
      </c>
      <c r="C151" s="1165"/>
      <c r="D151" s="1165">
        <v>-120370</v>
      </c>
    </row>
    <row r="152" spans="1:4" ht="26.25" x14ac:dyDescent="0.4">
      <c r="A152" s="1164" t="s">
        <v>15966</v>
      </c>
      <c r="B152" s="1165">
        <v>80000</v>
      </c>
      <c r="C152" s="1165"/>
      <c r="D152" s="1165">
        <v>-481120.02000000048</v>
      </c>
    </row>
    <row r="153" spans="1:4" ht="26.25" x14ac:dyDescent="0.4">
      <c r="A153" s="1164" t="s">
        <v>15865</v>
      </c>
      <c r="B153" s="1165">
        <v>39600</v>
      </c>
      <c r="C153" s="1165"/>
      <c r="D153" s="1165">
        <v>-39600</v>
      </c>
    </row>
    <row r="154" spans="1:4" ht="26.25" x14ac:dyDescent="0.4">
      <c r="A154" s="1174" t="s">
        <v>3144</v>
      </c>
      <c r="B154" s="1165">
        <v>39600</v>
      </c>
      <c r="C154" s="1165"/>
      <c r="D154" s="1165">
        <v>-39600</v>
      </c>
    </row>
    <row r="155" spans="1:4" ht="26.25" x14ac:dyDescent="0.4">
      <c r="A155" s="1164" t="s">
        <v>15919</v>
      </c>
      <c r="B155" s="1165">
        <v>19300</v>
      </c>
      <c r="C155" s="1165"/>
      <c r="D155" s="1165">
        <v>-19300</v>
      </c>
    </row>
    <row r="156" spans="1:4" ht="26.25" x14ac:dyDescent="0.4">
      <c r="A156" s="1174" t="s">
        <v>3144</v>
      </c>
      <c r="B156" s="1165">
        <v>19300</v>
      </c>
      <c r="C156" s="1165"/>
      <c r="D156" s="1165">
        <v>-19300</v>
      </c>
    </row>
    <row r="157" spans="1:4" ht="26.25" x14ac:dyDescent="0.4">
      <c r="A157" s="1164" t="s">
        <v>15922</v>
      </c>
      <c r="B157" s="1165">
        <v>110000</v>
      </c>
      <c r="C157" s="1165"/>
      <c r="D157" s="1165">
        <v>-110000</v>
      </c>
    </row>
    <row r="158" spans="1:4" ht="26.25" x14ac:dyDescent="0.4">
      <c r="A158" s="1174" t="s">
        <v>1229</v>
      </c>
      <c r="B158" s="1165">
        <v>110000</v>
      </c>
      <c r="C158" s="1165"/>
      <c r="D158" s="1165">
        <v>-110000</v>
      </c>
    </row>
    <row r="159" spans="1:4" ht="26.25" x14ac:dyDescent="0.4">
      <c r="A159" s="1166" t="s">
        <v>45</v>
      </c>
      <c r="B159" s="1165">
        <v>1208823447.7501636</v>
      </c>
      <c r="C159" s="1165">
        <v>1459991883.4391999</v>
      </c>
      <c r="D159" s="1165">
        <v>247650297.27484319</v>
      </c>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11635495</v>
      </c>
      <c r="G2" s="1018">
        <f ca="1">SUMIF(Posting!$B:$F,A2,Posting!$F:$F)</f>
        <v>4500001</v>
      </c>
      <c r="H2" s="1018">
        <f ca="1">SUMIF(Supplier!$B:$F,A2,Supplier!$E:$E)-SUMIF(Supplier!$B:$F,A2,Supplier!$F:$F)</f>
        <v>3681931</v>
      </c>
      <c r="I2" s="1018"/>
      <c r="J2" s="1018"/>
      <c r="K2" s="1018"/>
      <c r="L2" s="1018">
        <f>I2</f>
        <v>0</v>
      </c>
      <c r="M2" s="1045"/>
    </row>
    <row r="3" spans="1:15" s="4" customFormat="1" x14ac:dyDescent="0.3">
      <c r="A3" s="1051" t="s">
        <v>14232</v>
      </c>
      <c r="B3" s="1017"/>
      <c r="C3" s="1017"/>
      <c r="D3" s="1017">
        <f t="shared" ref="D3" si="1">B3-C3</f>
        <v>0</v>
      </c>
      <c r="E3" s="1022"/>
      <c r="F3" s="1018">
        <f ca="1">SUMIF(Posting!$B:$E,A3,Posting!$E:$E)</f>
        <v>8963277</v>
      </c>
      <c r="G3" s="1018">
        <f ca="1">SUMIF(Posting!$B:$F,A3,Posting!$F:$F)</f>
        <v>0</v>
      </c>
      <c r="H3" s="1018">
        <f ca="1">SUMIF(Supplier!$B:$F,A3,Supplier!$E:$E)-SUMIF(Supplier!$B:$F,A3,Supplier!$F:$F)</f>
        <v>1643247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2899511</v>
      </c>
      <c r="G5" s="1018">
        <f ca="1">SUMIF(Posting!$B:$F,A5,Posting!$F:$F)</f>
        <v>5009855</v>
      </c>
      <c r="H5" s="1018">
        <f ca="1">SUMIF(Supplier!$B:$F,A5,Supplier!$E:$E)-SUMIF(Supplier!$B:$F,A5,Supplier!$F:$F)</f>
        <v>563890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16439318.274193548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7244388.9715821808</v>
      </c>
      <c r="G12" s="1018">
        <f ca="1">SUMIF(Posting!$B:$F,A12,Posting!$F:$F)</f>
        <v>12473768.75</v>
      </c>
      <c r="H12" s="1018">
        <f ca="1">SUMIF(Supplier!$B:$F,A12,Supplier!$E:$E)-SUMIF(Supplier!$B:$F,A12,Supplier!$F:$F)</f>
        <v>1578265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45538529.629032262</v>
      </c>
      <c r="G13" s="1018">
        <f ca="1">SUMIF(Posting!$B:$F,A13,Posting!$F:$F)</f>
        <v>50043150</v>
      </c>
      <c r="H13" s="1018">
        <f ca="1">SUMIF(Supplier!$B:$F,A13,Supplier!$E:$E)-SUMIF(Supplier!$B:$F,A13,Supplier!$F:$F)</f>
        <v>1227969</v>
      </c>
      <c r="I13" s="1041"/>
      <c r="J13" s="1018"/>
      <c r="K13" s="1018"/>
      <c r="L13" s="1018"/>
      <c r="M13" s="1045"/>
    </row>
    <row r="14" spans="1:15" s="4" customFormat="1" x14ac:dyDescent="0.3">
      <c r="A14" s="1051" t="s">
        <v>12671</v>
      </c>
      <c r="B14" s="1017"/>
      <c r="C14" s="1017"/>
      <c r="D14" s="1017"/>
      <c r="E14" s="1022"/>
      <c r="F14" s="1018">
        <f ca="1">SUMIF(Posting!$B:$E,A14,Posting!$E:$E)</f>
        <v>10860805.35483871</v>
      </c>
      <c r="G14" s="1018">
        <f ca="1">SUMIF(Posting!$B:$F,A14,Posting!$F:$F)</f>
        <v>9227916</v>
      </c>
      <c r="H14" s="1018">
        <f ca="1">SUMIF(Supplier!$B:$F,A14,Supplier!$E:$E)-SUMIF(Supplier!$B:$F,A14,Supplier!$F:$F)</f>
        <v>692578</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6086551.935483871</v>
      </c>
      <c r="G29" s="1018">
        <f ca="1">SUMIF(Posting!$B:$F,A29,Posting!$F:$F)</f>
        <v>9158251</v>
      </c>
      <c r="H29" s="1018">
        <f ca="1">SUMIF(Supplier!$B:$F,A29,Supplier!$E:$E)-SUMIF(Supplier!$B:$F,A29,Supplier!$F:$F)</f>
        <v>373695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4685335</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97"/>
  <sheetViews>
    <sheetView zoomScale="120" zoomScaleNormal="120" workbookViewId="0">
      <pane ySplit="1" topLeftCell="A4597" activePane="bottomLeft" state="frozen"/>
      <selection activeCell="D26" sqref="D26"/>
      <selection pane="bottomLeft" activeCell="G4618" sqref="G461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9" t="s">
        <v>518</v>
      </c>
    </row>
    <row r="52" spans="1:8" x14ac:dyDescent="0.25">
      <c r="A52" s="17">
        <v>42426</v>
      </c>
      <c r="B52" s="21" t="s">
        <v>129</v>
      </c>
      <c r="C52" s="13" t="s">
        <v>161</v>
      </c>
      <c r="D52" s="764"/>
      <c r="E52" s="22"/>
      <c r="F52" s="19">
        <v>60000</v>
      </c>
      <c r="G52" s="14">
        <f t="shared" si="4"/>
        <v>-60000</v>
      </c>
      <c r="H52" s="124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4" t="s">
        <v>517</v>
      </c>
    </row>
    <row r="64" spans="1:8" x14ac:dyDescent="0.25">
      <c r="A64" s="17">
        <v>42430</v>
      </c>
      <c r="B64" s="21" t="s">
        <v>40</v>
      </c>
      <c r="C64" s="13" t="s">
        <v>164</v>
      </c>
      <c r="D64" s="764">
        <v>8707</v>
      </c>
      <c r="E64" s="22">
        <v>9826</v>
      </c>
      <c r="F64" s="19"/>
      <c r="G64" s="14">
        <f t="shared" si="6"/>
        <v>9826</v>
      </c>
      <c r="H64" s="1261"/>
    </row>
    <row r="65" spans="1:8" x14ac:dyDescent="0.25">
      <c r="A65" s="17">
        <v>42432</v>
      </c>
      <c r="B65" s="21" t="s">
        <v>130</v>
      </c>
      <c r="C65" s="13" t="s">
        <v>164</v>
      </c>
      <c r="D65" s="764">
        <v>8822</v>
      </c>
      <c r="E65" s="22">
        <v>10294</v>
      </c>
      <c r="F65" s="19"/>
      <c r="G65" s="14">
        <f t="shared" si="6"/>
        <v>10294</v>
      </c>
      <c r="H65" s="126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8" t="s">
        <v>2192</v>
      </c>
    </row>
    <row r="441" spans="1:8" x14ac:dyDescent="0.25">
      <c r="A441" s="17">
        <v>42740</v>
      </c>
      <c r="B441" s="10" t="s">
        <v>1399</v>
      </c>
      <c r="C441" s="11" t="s">
        <v>1802</v>
      </c>
      <c r="F441" s="9">
        <v>433634</v>
      </c>
      <c r="G441" s="6">
        <f t="shared" si="11"/>
        <v>-433634</v>
      </c>
      <c r="H441" s="1259"/>
    </row>
    <row r="442" spans="1:8" x14ac:dyDescent="0.25">
      <c r="A442" s="17">
        <v>42740</v>
      </c>
      <c r="B442" s="10" t="s">
        <v>1675</v>
      </c>
      <c r="C442" s="11" t="s">
        <v>1802</v>
      </c>
      <c r="F442" s="9">
        <v>32908</v>
      </c>
      <c r="G442" s="6">
        <f t="shared" si="11"/>
        <v>-32908</v>
      </c>
      <c r="H442" s="1259"/>
    </row>
    <row r="443" spans="1:8" x14ac:dyDescent="0.25">
      <c r="A443" s="17">
        <v>42740</v>
      </c>
      <c r="B443" s="10" t="s">
        <v>32</v>
      </c>
      <c r="C443" s="11" t="s">
        <v>1802</v>
      </c>
      <c r="F443" s="9">
        <v>30468</v>
      </c>
      <c r="G443" s="6">
        <f t="shared" si="11"/>
        <v>-30468</v>
      </c>
      <c r="H443" s="126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8" t="s">
        <v>2193</v>
      </c>
    </row>
    <row r="459" spans="1:8" x14ac:dyDescent="0.25">
      <c r="A459" s="17">
        <v>42804</v>
      </c>
      <c r="B459" s="10" t="s">
        <v>1396</v>
      </c>
      <c r="C459" s="11" t="s">
        <v>1802</v>
      </c>
      <c r="F459" s="9">
        <v>100000</v>
      </c>
      <c r="G459" s="6">
        <f t="shared" si="11"/>
        <v>-100000</v>
      </c>
      <c r="H459" s="1259"/>
    </row>
    <row r="460" spans="1:8" x14ac:dyDescent="0.25">
      <c r="A460" s="17">
        <v>42804</v>
      </c>
      <c r="B460" s="10" t="s">
        <v>32</v>
      </c>
      <c r="C460" s="11" t="s">
        <v>1802</v>
      </c>
      <c r="F460" s="9">
        <v>100000</v>
      </c>
      <c r="G460" s="6">
        <f t="shared" si="11"/>
        <v>-100000</v>
      </c>
      <c r="H460" s="126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58" t="s">
        <v>2411</v>
      </c>
    </row>
    <row r="541" spans="1:8" x14ac:dyDescent="0.25">
      <c r="A541" s="17">
        <v>42875</v>
      </c>
      <c r="B541" s="10" t="s">
        <v>1396</v>
      </c>
      <c r="C541" s="11" t="s">
        <v>161</v>
      </c>
      <c r="F541" s="9">
        <v>99093</v>
      </c>
      <c r="G541" s="6">
        <f t="shared" si="16"/>
        <v>-99093</v>
      </c>
      <c r="H541" s="126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58" t="s">
        <v>2419</v>
      </c>
    </row>
    <row r="559" spans="1:8" x14ac:dyDescent="0.25">
      <c r="A559" s="17">
        <v>42880</v>
      </c>
      <c r="B559" s="148" t="s">
        <v>32</v>
      </c>
      <c r="C559" s="149" t="s">
        <v>1802</v>
      </c>
      <c r="D559" s="770"/>
      <c r="E559" s="150"/>
      <c r="F559" s="151">
        <v>100000</v>
      </c>
      <c r="G559" s="152">
        <f t="shared" si="16"/>
        <v>-100000</v>
      </c>
      <c r="H559" s="126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2" t="s">
        <v>2980</v>
      </c>
    </row>
    <row r="750" spans="1:8" x14ac:dyDescent="0.25">
      <c r="A750" s="17">
        <v>43081</v>
      </c>
      <c r="B750" s="10" t="s">
        <v>2786</v>
      </c>
      <c r="C750" s="11" t="s">
        <v>166</v>
      </c>
      <c r="F750" s="9">
        <v>183600</v>
      </c>
      <c r="G750" s="6">
        <f t="shared" si="20"/>
        <v>-183600</v>
      </c>
      <c r="H750" s="1263"/>
    </row>
    <row r="751" spans="1:8" x14ac:dyDescent="0.25">
      <c r="A751" s="17">
        <v>43081</v>
      </c>
      <c r="B751" s="10" t="s">
        <v>40</v>
      </c>
      <c r="C751" s="11" t="s">
        <v>166</v>
      </c>
      <c r="F751" s="9">
        <v>69900</v>
      </c>
      <c r="G751" s="6">
        <f t="shared" si="20"/>
        <v>-69900</v>
      </c>
      <c r="H751" s="1263"/>
    </row>
    <row r="752" spans="1:8" x14ac:dyDescent="0.25">
      <c r="A752" s="17">
        <v>43081</v>
      </c>
      <c r="B752" s="10" t="s">
        <v>1399</v>
      </c>
      <c r="C752" s="11" t="s">
        <v>166</v>
      </c>
      <c r="F752" s="9">
        <v>84000</v>
      </c>
      <c r="G752" s="6">
        <f t="shared" si="20"/>
        <v>-84000</v>
      </c>
      <c r="H752" s="1263"/>
    </row>
    <row r="753" spans="1:8" x14ac:dyDescent="0.25">
      <c r="A753" s="17">
        <v>43081</v>
      </c>
      <c r="B753" s="10" t="s">
        <v>2226</v>
      </c>
      <c r="C753" s="11" t="s">
        <v>166</v>
      </c>
      <c r="F753" s="9">
        <v>35709</v>
      </c>
      <c r="G753" s="6">
        <f t="shared" si="20"/>
        <v>-35709</v>
      </c>
      <c r="H753" s="1263"/>
    </row>
    <row r="754" spans="1:8" x14ac:dyDescent="0.25">
      <c r="A754" s="17">
        <v>43081</v>
      </c>
      <c r="B754" s="10" t="s">
        <v>1396</v>
      </c>
      <c r="C754" s="11" t="s">
        <v>166</v>
      </c>
      <c r="F754" s="9">
        <v>3823</v>
      </c>
      <c r="G754" s="6">
        <f t="shared" si="20"/>
        <v>-3823</v>
      </c>
      <c r="H754" s="126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65" t="s">
        <v>3051</v>
      </c>
    </row>
    <row r="767" spans="1:8" x14ac:dyDescent="0.25">
      <c r="A767" s="17">
        <v>43122</v>
      </c>
      <c r="B767" s="10" t="s">
        <v>2786</v>
      </c>
      <c r="C767" s="11" t="s">
        <v>166</v>
      </c>
      <c r="F767" s="9">
        <f>500000-F766</f>
        <v>443523</v>
      </c>
      <c r="G767" s="6">
        <f t="shared" si="20"/>
        <v>-443523</v>
      </c>
      <c r="H767" s="126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0" t="s">
        <v>6676</v>
      </c>
    </row>
    <row r="1800" spans="1:8" x14ac:dyDescent="0.25">
      <c r="A1800" s="112">
        <v>44261</v>
      </c>
      <c r="B1800" s="10" t="s">
        <v>1399</v>
      </c>
      <c r="C1800" s="11" t="s">
        <v>166</v>
      </c>
      <c r="F1800" s="9">
        <v>50000</v>
      </c>
      <c r="G1800" s="6">
        <f t="shared" ref="G1800" si="32">E1800-F1800</f>
        <v>-50000</v>
      </c>
      <c r="H1800" s="127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1" t="s">
        <v>6971</v>
      </c>
    </row>
    <row r="1877" spans="1:8" ht="24" customHeight="1" x14ac:dyDescent="0.25">
      <c r="A1877" s="112">
        <v>44288</v>
      </c>
      <c r="B1877" s="10" t="s">
        <v>6407</v>
      </c>
      <c r="C1877" s="11" t="s">
        <v>437</v>
      </c>
      <c r="F1877" s="9">
        <v>7970</v>
      </c>
      <c r="G1877" s="6">
        <f t="shared" si="34"/>
        <v>-7970</v>
      </c>
      <c r="H1877" s="1271"/>
    </row>
    <row r="1878" spans="1:8" ht="24" customHeight="1" x14ac:dyDescent="0.25">
      <c r="A1878" s="112">
        <v>44288</v>
      </c>
      <c r="B1878" s="10" t="s">
        <v>1399</v>
      </c>
      <c r="C1878" s="11" t="s">
        <v>437</v>
      </c>
      <c r="F1878" s="9">
        <v>21500</v>
      </c>
      <c r="G1878" s="6">
        <f t="shared" si="34"/>
        <v>-21500</v>
      </c>
      <c r="H1878" s="1271"/>
    </row>
    <row r="1879" spans="1:8" ht="24" customHeight="1" x14ac:dyDescent="0.25">
      <c r="A1879" s="112">
        <v>44288</v>
      </c>
      <c r="B1879" s="10" t="s">
        <v>6407</v>
      </c>
      <c r="C1879" s="11" t="s">
        <v>437</v>
      </c>
      <c r="F1879" s="9">
        <v>2900</v>
      </c>
      <c r="G1879" s="6">
        <f t="shared" si="34"/>
        <v>-2900</v>
      </c>
      <c r="H1879" s="1271"/>
    </row>
    <row r="1880" spans="1:8" ht="24" customHeight="1" x14ac:dyDescent="0.25">
      <c r="A1880" s="112">
        <v>44280</v>
      </c>
      <c r="B1880" s="10" t="s">
        <v>1399</v>
      </c>
      <c r="C1880" s="11" t="s">
        <v>437</v>
      </c>
      <c r="F1880" s="9">
        <v>24225</v>
      </c>
      <c r="G1880" s="6">
        <f t="shared" si="34"/>
        <v>-24225</v>
      </c>
      <c r="H1880" s="1271"/>
    </row>
    <row r="1881" spans="1:8" ht="24" customHeight="1" x14ac:dyDescent="0.25">
      <c r="A1881" s="112">
        <v>44331</v>
      </c>
      <c r="B1881" s="10" t="s">
        <v>6407</v>
      </c>
      <c r="C1881" s="11" t="s">
        <v>437</v>
      </c>
      <c r="F1881" s="9">
        <v>54720</v>
      </c>
      <c r="G1881" s="6">
        <f t="shared" si="34"/>
        <v>-54720</v>
      </c>
      <c r="H1881" s="1271"/>
    </row>
    <row r="1882" spans="1:8" ht="24" customHeight="1" x14ac:dyDescent="0.25">
      <c r="A1882" s="112">
        <v>44341</v>
      </c>
      <c r="B1882" s="10" t="s">
        <v>6509</v>
      </c>
      <c r="C1882" s="11" t="s">
        <v>437</v>
      </c>
      <c r="F1882" s="9">
        <v>22415</v>
      </c>
      <c r="G1882" s="6">
        <f t="shared" si="34"/>
        <v>-22415</v>
      </c>
      <c r="H1882" s="127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50" t="s">
        <v>6908</v>
      </c>
    </row>
    <row r="1886" spans="1:8" x14ac:dyDescent="0.25">
      <c r="A1886" s="112">
        <v>44291</v>
      </c>
      <c r="B1886" s="10" t="s">
        <v>6516</v>
      </c>
      <c r="C1886" s="11" t="s">
        <v>1802</v>
      </c>
      <c r="E1886" s="108"/>
      <c r="F1886" s="110">
        <v>82220</v>
      </c>
      <c r="G1886" s="6">
        <f t="shared" si="34"/>
        <v>-82220</v>
      </c>
      <c r="H1886" s="1198"/>
    </row>
    <row r="1887" spans="1:8" x14ac:dyDescent="0.25">
      <c r="A1887" s="112">
        <v>44291</v>
      </c>
      <c r="B1887" s="10" t="s">
        <v>6509</v>
      </c>
      <c r="C1887" s="11" t="s">
        <v>1802</v>
      </c>
      <c r="E1887" s="108"/>
      <c r="F1887" s="110">
        <f>16101+25620</f>
        <v>41721</v>
      </c>
      <c r="G1887" s="6">
        <f t="shared" si="34"/>
        <v>-41721</v>
      </c>
      <c r="H1887" s="1198"/>
    </row>
    <row r="1888" spans="1:8" x14ac:dyDescent="0.25">
      <c r="A1888" s="112">
        <v>44291</v>
      </c>
      <c r="B1888" s="10" t="s">
        <v>6718</v>
      </c>
      <c r="C1888" s="11" t="s">
        <v>1802</v>
      </c>
      <c r="E1888" s="108"/>
      <c r="F1888" s="111">
        <v>200000</v>
      </c>
      <c r="G1888" s="6">
        <f t="shared" si="34"/>
        <v>-200000</v>
      </c>
      <c r="H1888" s="125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67" t="s">
        <v>7137</v>
      </c>
    </row>
    <row r="1996" spans="1:8" x14ac:dyDescent="0.25">
      <c r="A1996" s="658">
        <v>44392</v>
      </c>
      <c r="B1996" s="659" t="s">
        <v>6953</v>
      </c>
      <c r="C1996" s="660" t="s">
        <v>166</v>
      </c>
      <c r="E1996" s="661"/>
      <c r="F1996" s="664">
        <v>34800</v>
      </c>
      <c r="G1996" s="663">
        <f t="shared" si="36"/>
        <v>-34800</v>
      </c>
      <c r="H1996" s="1268"/>
    </row>
    <row r="1997" spans="1:8" ht="16.5" thickBot="1" x14ac:dyDescent="0.3">
      <c r="A1997" s="658">
        <v>44392</v>
      </c>
      <c r="B1997" s="659" t="s">
        <v>1399</v>
      </c>
      <c r="C1997" s="660" t="s">
        <v>166</v>
      </c>
      <c r="E1997" s="661"/>
      <c r="F1997" s="665">
        <v>23022</v>
      </c>
      <c r="G1997" s="663">
        <f t="shared" si="36"/>
        <v>-23022</v>
      </c>
      <c r="H1997" s="1269"/>
    </row>
    <row r="1998" spans="1:8" x14ac:dyDescent="0.25">
      <c r="A1998" s="651">
        <v>44392</v>
      </c>
      <c r="B1998" s="652" t="s">
        <v>6509</v>
      </c>
      <c r="C1998" s="653" t="s">
        <v>437</v>
      </c>
      <c r="E1998" s="654"/>
      <c r="F1998" s="655">
        <f>480791-39410</f>
        <v>441381</v>
      </c>
      <c r="G1998" s="656">
        <f t="shared" si="36"/>
        <v>-441381</v>
      </c>
      <c r="H1998" s="1272" t="s">
        <v>7139</v>
      </c>
    </row>
    <row r="1999" spans="1:8" x14ac:dyDescent="0.25">
      <c r="A1999" s="651">
        <v>44392</v>
      </c>
      <c r="B1999" s="652" t="s">
        <v>6953</v>
      </c>
      <c r="C1999" s="653" t="s">
        <v>437</v>
      </c>
      <c r="E1999" s="654"/>
      <c r="F1999" s="672">
        <v>39410</v>
      </c>
      <c r="G1999" s="656">
        <f t="shared" si="36"/>
        <v>-39410</v>
      </c>
      <c r="H1999" s="1273"/>
    </row>
    <row r="2000" spans="1:8" ht="16.5" thickBot="1" x14ac:dyDescent="0.3">
      <c r="A2000" s="651">
        <v>44392</v>
      </c>
      <c r="B2000" s="652" t="s">
        <v>6407</v>
      </c>
      <c r="C2000" s="653" t="s">
        <v>437</v>
      </c>
      <c r="E2000" s="654"/>
      <c r="F2000" s="657">
        <v>40445</v>
      </c>
      <c r="G2000" s="656">
        <f t="shared" si="36"/>
        <v>-40445</v>
      </c>
      <c r="H2000" s="1274"/>
    </row>
    <row r="2001" spans="1:8" x14ac:dyDescent="0.25">
      <c r="A2001" s="658">
        <v>44392</v>
      </c>
      <c r="B2001" s="659" t="s">
        <v>6953</v>
      </c>
      <c r="C2001" s="660" t="s">
        <v>437</v>
      </c>
      <c r="E2001" s="661"/>
      <c r="F2001" s="662">
        <v>134360</v>
      </c>
      <c r="G2001" s="663">
        <f t="shared" si="36"/>
        <v>-134360</v>
      </c>
      <c r="H2001" s="1280" t="s">
        <v>7140</v>
      </c>
    </row>
    <row r="2002" spans="1:8" x14ac:dyDescent="0.25">
      <c r="A2002" s="658">
        <v>44392</v>
      </c>
      <c r="B2002" s="659" t="s">
        <v>1399</v>
      </c>
      <c r="C2002" s="660" t="s">
        <v>437</v>
      </c>
      <c r="E2002" s="661"/>
      <c r="F2002" s="664">
        <v>79000</v>
      </c>
      <c r="G2002" s="663">
        <f t="shared" si="36"/>
        <v>-79000</v>
      </c>
      <c r="H2002" s="1281"/>
    </row>
    <row r="2003" spans="1:8" x14ac:dyDescent="0.25">
      <c r="A2003" s="658">
        <v>44392</v>
      </c>
      <c r="B2003" s="659" t="s">
        <v>6407</v>
      </c>
      <c r="C2003" s="660" t="s">
        <v>437</v>
      </c>
      <c r="E2003" s="661"/>
      <c r="F2003" s="664">
        <v>35561</v>
      </c>
      <c r="G2003" s="663">
        <f t="shared" si="36"/>
        <v>-35561</v>
      </c>
      <c r="H2003" s="1281"/>
    </row>
    <row r="2004" spans="1:8" x14ac:dyDescent="0.25">
      <c r="A2004" s="658">
        <v>44392</v>
      </c>
      <c r="B2004" s="659" t="s">
        <v>3945</v>
      </c>
      <c r="C2004" s="660" t="s">
        <v>437</v>
      </c>
      <c r="E2004" s="661"/>
      <c r="F2004" s="664">
        <v>252800</v>
      </c>
      <c r="G2004" s="663">
        <f t="shared" si="36"/>
        <v>-252800</v>
      </c>
      <c r="H2004" s="1281"/>
    </row>
    <row r="2005" spans="1:8" ht="16.5" thickBot="1" x14ac:dyDescent="0.3">
      <c r="A2005" s="658">
        <v>44392</v>
      </c>
      <c r="B2005" s="659" t="s">
        <v>7065</v>
      </c>
      <c r="C2005" s="660" t="s">
        <v>437</v>
      </c>
      <c r="E2005" s="661"/>
      <c r="F2005" s="665">
        <v>209</v>
      </c>
      <c r="G2005" s="663">
        <f t="shared" si="36"/>
        <v>-209</v>
      </c>
      <c r="H2005" s="128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78" t="s">
        <v>7251</v>
      </c>
    </row>
    <row r="2035" spans="1:8" x14ac:dyDescent="0.25">
      <c r="A2035" s="112">
        <v>44431</v>
      </c>
      <c r="B2035" s="10" t="s">
        <v>7110</v>
      </c>
      <c r="C2035" s="11" t="s">
        <v>7240</v>
      </c>
      <c r="F2035" s="9">
        <v>50000</v>
      </c>
      <c r="G2035" s="6">
        <f t="shared" si="37"/>
        <v>-50000</v>
      </c>
      <c r="H2035" s="127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53" t="s">
        <v>7298</v>
      </c>
    </row>
    <row r="2060" spans="1:8" x14ac:dyDescent="0.25">
      <c r="A2060" s="112">
        <v>44456</v>
      </c>
      <c r="B2060" s="10" t="s">
        <v>6509</v>
      </c>
      <c r="C2060" s="11" t="s">
        <v>437</v>
      </c>
      <c r="F2060" s="9">
        <v>137800</v>
      </c>
      <c r="G2060" s="6">
        <f t="shared" si="38"/>
        <v>-137800</v>
      </c>
      <c r="H2060" s="1254"/>
    </row>
    <row r="2061" spans="1:8" x14ac:dyDescent="0.25">
      <c r="A2061" s="112">
        <v>44456</v>
      </c>
      <c r="B2061" s="10" t="s">
        <v>7065</v>
      </c>
      <c r="C2061" s="11" t="s">
        <v>437</v>
      </c>
      <c r="F2061" s="9">
        <v>29791</v>
      </c>
      <c r="G2061" s="6">
        <f t="shared" si="38"/>
        <v>-29791</v>
      </c>
      <c r="H2061" s="1254"/>
    </row>
    <row r="2062" spans="1:8" x14ac:dyDescent="0.25">
      <c r="A2062" s="112">
        <v>44456</v>
      </c>
      <c r="B2062" s="10" t="s">
        <v>6407</v>
      </c>
      <c r="C2062" s="11" t="s">
        <v>437</v>
      </c>
      <c r="F2062" s="9">
        <v>87105</v>
      </c>
      <c r="G2062" s="6">
        <f t="shared" si="38"/>
        <v>-87105</v>
      </c>
      <c r="H2062" s="1254"/>
    </row>
    <row r="2063" spans="1:8" x14ac:dyDescent="0.25">
      <c r="A2063" s="112">
        <v>44456</v>
      </c>
      <c r="B2063" s="10" t="s">
        <v>1399</v>
      </c>
      <c r="C2063" s="11" t="s">
        <v>437</v>
      </c>
      <c r="F2063" s="9">
        <v>3014</v>
      </c>
      <c r="G2063" s="6">
        <f t="shared" si="38"/>
        <v>-3014</v>
      </c>
      <c r="H2063" s="125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79" t="s">
        <v>7312</v>
      </c>
    </row>
    <row r="2077" spans="1:8" x14ac:dyDescent="0.25">
      <c r="A2077" s="112">
        <v>44460</v>
      </c>
      <c r="B2077" s="10" t="s">
        <v>6953</v>
      </c>
      <c r="C2077" s="11" t="s">
        <v>166</v>
      </c>
      <c r="F2077" s="9">
        <v>123680</v>
      </c>
      <c r="G2077" s="6">
        <f t="shared" si="38"/>
        <v>-123680</v>
      </c>
      <c r="H2077" s="1279"/>
    </row>
    <row r="2078" spans="1:8" x14ac:dyDescent="0.25">
      <c r="A2078" s="112">
        <v>44460</v>
      </c>
      <c r="B2078" s="10" t="s">
        <v>6407</v>
      </c>
      <c r="C2078" s="11" t="s">
        <v>166</v>
      </c>
      <c r="F2078" s="9">
        <v>13600</v>
      </c>
      <c r="G2078" s="6">
        <f t="shared" si="38"/>
        <v>-13600</v>
      </c>
      <c r="H2078" s="1279"/>
    </row>
    <row r="2079" spans="1:8" x14ac:dyDescent="0.25">
      <c r="A2079" s="112">
        <v>44460</v>
      </c>
      <c r="B2079" s="10" t="s">
        <v>6509</v>
      </c>
      <c r="C2079" s="11" t="s">
        <v>166</v>
      </c>
      <c r="F2079" s="9">
        <v>6755</v>
      </c>
      <c r="G2079" s="6">
        <f t="shared" si="38"/>
        <v>-6755</v>
      </c>
      <c r="H2079" s="1279"/>
    </row>
    <row r="2080" spans="1:8" x14ac:dyDescent="0.25">
      <c r="A2080" s="112">
        <v>44460</v>
      </c>
      <c r="B2080" s="10" t="s">
        <v>1399</v>
      </c>
      <c r="C2080" s="11" t="s">
        <v>166</v>
      </c>
      <c r="F2080" s="9">
        <v>9165</v>
      </c>
      <c r="G2080" s="6">
        <f t="shared" si="38"/>
        <v>-9165</v>
      </c>
      <c r="H2080" s="127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78" t="s">
        <v>7361</v>
      </c>
    </row>
    <row r="2085" spans="1:8" x14ac:dyDescent="0.25">
      <c r="A2085" s="112">
        <v>44476</v>
      </c>
      <c r="B2085" s="10" t="s">
        <v>6407</v>
      </c>
      <c r="C2085" s="660" t="s">
        <v>7240</v>
      </c>
      <c r="E2085" s="661"/>
      <c r="F2085" s="664">
        <v>2404</v>
      </c>
      <c r="G2085" s="663">
        <f t="shared" si="38"/>
        <v>-2404</v>
      </c>
      <c r="H2085" s="1278"/>
    </row>
    <row r="2086" spans="1:8" x14ac:dyDescent="0.25">
      <c r="A2086" s="112">
        <v>44476</v>
      </c>
      <c r="B2086" s="10" t="s">
        <v>6953</v>
      </c>
      <c r="C2086" s="660" t="s">
        <v>7240</v>
      </c>
      <c r="E2086" s="661"/>
      <c r="F2086" s="664">
        <v>14457</v>
      </c>
      <c r="G2086" s="663">
        <f t="shared" si="38"/>
        <v>-14457</v>
      </c>
      <c r="H2086" s="1278"/>
    </row>
    <row r="2087" spans="1:8" x14ac:dyDescent="0.25">
      <c r="A2087" s="112">
        <v>44476</v>
      </c>
      <c r="B2087" s="10" t="s">
        <v>7110</v>
      </c>
      <c r="C2087" s="660" t="s">
        <v>7240</v>
      </c>
      <c r="E2087" s="661"/>
      <c r="F2087" s="664">
        <v>3866</v>
      </c>
      <c r="G2087" s="663">
        <f t="shared" si="38"/>
        <v>-3866</v>
      </c>
      <c r="H2087" s="127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76" t="s">
        <v>7428</v>
      </c>
    </row>
    <row r="2105" spans="1:8" x14ac:dyDescent="0.25">
      <c r="A2105" s="112">
        <v>44495</v>
      </c>
      <c r="B2105" s="21" t="s">
        <v>5810</v>
      </c>
      <c r="C2105" s="745" t="s">
        <v>437</v>
      </c>
      <c r="D2105" s="764"/>
      <c r="E2105" s="746"/>
      <c r="F2105" s="747">
        <v>63000</v>
      </c>
      <c r="G2105" s="14">
        <f t="shared" si="39"/>
        <v>-63000</v>
      </c>
      <c r="H2105" s="1276"/>
    </row>
    <row r="2106" spans="1:8" x14ac:dyDescent="0.25">
      <c r="A2106" s="112">
        <v>44495</v>
      </c>
      <c r="B2106" s="21" t="s">
        <v>3945</v>
      </c>
      <c r="C2106" s="745" t="s">
        <v>437</v>
      </c>
      <c r="D2106" s="764"/>
      <c r="E2106" s="746"/>
      <c r="F2106" s="747">
        <v>161200</v>
      </c>
      <c r="G2106" s="14">
        <f t="shared" si="39"/>
        <v>-161200</v>
      </c>
      <c r="H2106" s="127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9" t="s">
        <v>7466</v>
      </c>
    </row>
    <row r="2124" spans="1:8" x14ac:dyDescent="0.25">
      <c r="A2124" s="112">
        <v>44510</v>
      </c>
      <c r="B2124" s="21" t="s">
        <v>7110</v>
      </c>
      <c r="C2124" s="13" t="s">
        <v>7465</v>
      </c>
      <c r="D2124" s="764"/>
      <c r="E2124" s="22"/>
      <c r="F2124" s="19">
        <v>30988</v>
      </c>
      <c r="G2124" s="14">
        <f t="shared" si="39"/>
        <v>-30988</v>
      </c>
      <c r="H2124" s="1249"/>
    </row>
    <row r="2125" spans="1:8" x14ac:dyDescent="0.25">
      <c r="A2125" s="112">
        <v>44510</v>
      </c>
      <c r="B2125" s="21" t="s">
        <v>6953</v>
      </c>
      <c r="C2125" s="13" t="s">
        <v>7465</v>
      </c>
      <c r="D2125" s="764"/>
      <c r="E2125" s="22"/>
      <c r="F2125" s="19">
        <v>21999</v>
      </c>
      <c r="G2125" s="14">
        <f t="shared" si="39"/>
        <v>-21999</v>
      </c>
      <c r="H2125" s="124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76" t="s">
        <v>7521</v>
      </c>
    </row>
    <row r="2140" spans="1:8" x14ac:dyDescent="0.25">
      <c r="A2140" s="112">
        <v>44529</v>
      </c>
      <c r="B2140" s="21" t="s">
        <v>6506</v>
      </c>
      <c r="C2140" s="13" t="s">
        <v>180</v>
      </c>
      <c r="D2140" s="764"/>
      <c r="E2140" s="22"/>
      <c r="F2140" s="19">
        <v>27915</v>
      </c>
      <c r="G2140" s="14">
        <f t="shared" si="39"/>
        <v>-27915</v>
      </c>
      <c r="H2140" s="1276"/>
    </row>
    <row r="2141" spans="1:8" x14ac:dyDescent="0.25">
      <c r="A2141" s="112">
        <v>44532</v>
      </c>
      <c r="B2141" s="21" t="s">
        <v>6407</v>
      </c>
      <c r="C2141" s="13" t="s">
        <v>1802</v>
      </c>
      <c r="D2141" s="764"/>
      <c r="E2141" s="22"/>
      <c r="F2141" s="19">
        <v>110233</v>
      </c>
      <c r="G2141" s="14">
        <f t="shared" si="39"/>
        <v>-110233</v>
      </c>
      <c r="H2141" s="1277" t="s">
        <v>7535</v>
      </c>
    </row>
    <row r="2142" spans="1:8" x14ac:dyDescent="0.25">
      <c r="A2142" s="112">
        <v>44532</v>
      </c>
      <c r="B2142" s="21" t="s">
        <v>6506</v>
      </c>
      <c r="C2142" s="13" t="s">
        <v>1802</v>
      </c>
      <c r="D2142" s="764"/>
      <c r="E2142" s="22"/>
      <c r="F2142" s="19">
        <v>230169</v>
      </c>
      <c r="G2142" s="14">
        <f t="shared" si="39"/>
        <v>-230169</v>
      </c>
      <c r="H2142" s="1277"/>
    </row>
    <row r="2143" spans="1:8" x14ac:dyDescent="0.25">
      <c r="A2143" s="112">
        <v>44532</v>
      </c>
      <c r="B2143" s="21" t="s">
        <v>6509</v>
      </c>
      <c r="C2143" s="13" t="s">
        <v>1802</v>
      </c>
      <c r="D2143" s="764"/>
      <c r="E2143" s="22"/>
      <c r="F2143" s="19">
        <v>136986</v>
      </c>
      <c r="G2143" s="14">
        <f t="shared" si="39"/>
        <v>-136986</v>
      </c>
      <c r="H2143" s="1277"/>
    </row>
    <row r="2144" spans="1:8" x14ac:dyDescent="0.25">
      <c r="A2144" s="112">
        <v>44532</v>
      </c>
      <c r="B2144" s="21" t="s">
        <v>6718</v>
      </c>
      <c r="C2144" s="13" t="s">
        <v>1802</v>
      </c>
      <c r="D2144" s="764"/>
      <c r="E2144" s="22"/>
      <c r="F2144" s="19">
        <v>10112</v>
      </c>
      <c r="G2144" s="14">
        <f t="shared" si="39"/>
        <v>-10112</v>
      </c>
      <c r="H2144" s="127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75" t="s">
        <v>7554</v>
      </c>
    </row>
    <row r="2148" spans="1:8" x14ac:dyDescent="0.25">
      <c r="A2148" s="112">
        <v>44538</v>
      </c>
      <c r="B2148" s="21" t="s">
        <v>2651</v>
      </c>
      <c r="C2148" s="13" t="s">
        <v>5680</v>
      </c>
      <c r="D2148" s="764"/>
      <c r="E2148" s="22"/>
      <c r="F2148" s="19">
        <v>72300</v>
      </c>
      <c r="G2148" s="14">
        <f t="shared" ref="G2148:G2190" si="40">E2148-F2148</f>
        <v>-72300</v>
      </c>
      <c r="H2148" s="1275"/>
    </row>
    <row r="2149" spans="1:8" x14ac:dyDescent="0.25">
      <c r="A2149" s="112">
        <v>44538</v>
      </c>
      <c r="B2149" s="21" t="s">
        <v>6407</v>
      </c>
      <c r="C2149" s="13" t="s">
        <v>5680</v>
      </c>
      <c r="D2149" s="764"/>
      <c r="E2149" s="22"/>
      <c r="F2149" s="19">
        <v>9500</v>
      </c>
      <c r="G2149" s="14">
        <f t="shared" si="40"/>
        <v>-9500</v>
      </c>
      <c r="H2149" s="1275"/>
    </row>
    <row r="2150" spans="1:8" x14ac:dyDescent="0.25">
      <c r="A2150" s="112">
        <v>44538</v>
      </c>
      <c r="B2150" s="21" t="s">
        <v>6509</v>
      </c>
      <c r="C2150" s="13" t="s">
        <v>5680</v>
      </c>
      <c r="D2150" s="764"/>
      <c r="E2150" s="22"/>
      <c r="F2150" s="19">
        <v>59100</v>
      </c>
      <c r="G2150" s="14">
        <f t="shared" si="40"/>
        <v>-59100</v>
      </c>
      <c r="H2150" s="127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82" t="s">
        <v>7673</v>
      </c>
    </row>
    <row r="2175" spans="1:8" x14ac:dyDescent="0.25">
      <c r="A2175" s="112">
        <v>44610</v>
      </c>
      <c r="B2175" s="21" t="s">
        <v>6953</v>
      </c>
      <c r="C2175" s="745" t="s">
        <v>7465</v>
      </c>
      <c r="D2175" s="764"/>
      <c r="E2175" s="746"/>
      <c r="F2175" s="747">
        <f>50900+252</f>
        <v>51152</v>
      </c>
      <c r="G2175" s="746">
        <f t="shared" si="40"/>
        <v>-51152</v>
      </c>
      <c r="H2175" s="1282"/>
    </row>
    <row r="2176" spans="1:8" x14ac:dyDescent="0.25">
      <c r="A2176" s="112">
        <v>44610</v>
      </c>
      <c r="B2176" s="21" t="s">
        <v>7065</v>
      </c>
      <c r="C2176" s="745" t="s">
        <v>7465</v>
      </c>
      <c r="D2176" s="764"/>
      <c r="E2176" s="746"/>
      <c r="F2176" s="747">
        <v>30105</v>
      </c>
      <c r="G2176" s="746">
        <f t="shared" si="40"/>
        <v>-30105</v>
      </c>
      <c r="H2176" s="128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9" t="s">
        <v>7889</v>
      </c>
    </row>
    <row r="2189" spans="1:8" x14ac:dyDescent="0.25">
      <c r="A2189" s="112">
        <v>44627</v>
      </c>
      <c r="B2189" s="21" t="s">
        <v>37</v>
      </c>
      <c r="C2189" s="13" t="s">
        <v>7240</v>
      </c>
      <c r="D2189" s="764"/>
      <c r="E2189" s="22"/>
      <c r="F2189" s="19">
        <v>66360</v>
      </c>
      <c r="G2189" s="14">
        <f t="shared" si="40"/>
        <v>-66360</v>
      </c>
      <c r="H2189" s="1249"/>
    </row>
    <row r="2190" spans="1:8" x14ac:dyDescent="0.25">
      <c r="A2190" s="112">
        <v>44627</v>
      </c>
      <c r="B2190" s="21" t="s">
        <v>1399</v>
      </c>
      <c r="C2190" s="745" t="s">
        <v>166</v>
      </c>
      <c r="D2190" s="764"/>
      <c r="E2190" s="746"/>
      <c r="F2190" s="746">
        <v>204468</v>
      </c>
      <c r="G2190" s="746">
        <f t="shared" si="40"/>
        <v>-204468</v>
      </c>
      <c r="H2190" s="1244" t="s">
        <v>7781</v>
      </c>
    </row>
    <row r="2191" spans="1:8" x14ac:dyDescent="0.25">
      <c r="A2191" s="112">
        <v>44627</v>
      </c>
      <c r="B2191" s="21" t="s">
        <v>7065</v>
      </c>
      <c r="C2191" s="745" t="s">
        <v>166</v>
      </c>
      <c r="D2191" s="764"/>
      <c r="E2191" s="746"/>
      <c r="F2191" s="746">
        <v>12627</v>
      </c>
      <c r="G2191" s="746">
        <f t="shared" ref="G2191:G2308" si="41">E2191-F2191</f>
        <v>-12627</v>
      </c>
      <c r="H2191" s="1244"/>
    </row>
    <row r="2192" spans="1:8" x14ac:dyDescent="0.25">
      <c r="A2192" s="112">
        <v>44627</v>
      </c>
      <c r="B2192" s="21" t="s">
        <v>7655</v>
      </c>
      <c r="C2192" s="745" t="s">
        <v>166</v>
      </c>
      <c r="D2192" s="764"/>
      <c r="E2192" s="746"/>
      <c r="F2192" s="746">
        <v>80000</v>
      </c>
      <c r="G2192" s="746">
        <f t="shared" si="41"/>
        <v>-80000</v>
      </c>
      <c r="H2192" s="1244"/>
    </row>
    <row r="2193" spans="1:8" x14ac:dyDescent="0.25">
      <c r="A2193" s="112">
        <v>44627</v>
      </c>
      <c r="B2193" s="21" t="s">
        <v>6953</v>
      </c>
      <c r="C2193" s="745" t="s">
        <v>166</v>
      </c>
      <c r="D2193" s="764"/>
      <c r="E2193" s="746"/>
      <c r="F2193" s="746">
        <v>2905</v>
      </c>
      <c r="G2193" s="746">
        <f t="shared" si="41"/>
        <v>-2905</v>
      </c>
      <c r="H2193" s="124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84" t="s">
        <v>7701</v>
      </c>
    </row>
    <row r="2201" spans="1:8" x14ac:dyDescent="0.25">
      <c r="A2201" s="112">
        <v>44627</v>
      </c>
      <c r="B2201" s="21" t="s">
        <v>7655</v>
      </c>
      <c r="C2201" s="13" t="s">
        <v>7240</v>
      </c>
      <c r="D2201" s="776" t="s">
        <v>7700</v>
      </c>
      <c r="E2201" s="22">
        <v>19800</v>
      </c>
      <c r="F2201" s="19"/>
      <c r="G2201" s="20">
        <f t="shared" si="41"/>
        <v>19800</v>
      </c>
      <c r="H2201" s="1284"/>
    </row>
    <row r="2202" spans="1:8" x14ac:dyDescent="0.25">
      <c r="A2202" s="112">
        <v>44637</v>
      </c>
      <c r="B2202" s="21" t="s">
        <v>7655</v>
      </c>
      <c r="C2202" s="13" t="s">
        <v>5680</v>
      </c>
      <c r="D2202" s="764">
        <v>35</v>
      </c>
      <c r="E2202" s="22">
        <f>11300+8400+7000+11700+2500</f>
        <v>40900</v>
      </c>
      <c r="F2202" s="19"/>
      <c r="G2202" s="20">
        <f t="shared" si="41"/>
        <v>40900</v>
      </c>
      <c r="H2202" s="1284" t="s">
        <v>7701</v>
      </c>
    </row>
    <row r="2203" spans="1:8" x14ac:dyDescent="0.25">
      <c r="A2203" s="112">
        <v>44637</v>
      </c>
      <c r="B2203" s="21" t="s">
        <v>7553</v>
      </c>
      <c r="C2203" s="13" t="s">
        <v>5680</v>
      </c>
      <c r="D2203" s="764">
        <v>35</v>
      </c>
      <c r="E2203" s="22">
        <f>7600+3500</f>
        <v>11100</v>
      </c>
      <c r="F2203" s="19"/>
      <c r="G2203" s="20">
        <f t="shared" si="41"/>
        <v>11100</v>
      </c>
      <c r="H2203" s="128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83" t="s">
        <v>7743</v>
      </c>
    </row>
    <row r="2219" spans="1:8" x14ac:dyDescent="0.25">
      <c r="A2219" s="112">
        <v>44645</v>
      </c>
      <c r="B2219" s="21" t="s">
        <v>6503</v>
      </c>
      <c r="C2219" s="13" t="s">
        <v>166</v>
      </c>
      <c r="D2219" s="764"/>
      <c r="E2219" s="22"/>
      <c r="F2219" s="19">
        <v>51585</v>
      </c>
      <c r="G2219" s="14">
        <f t="shared" si="41"/>
        <v>-51585</v>
      </c>
      <c r="H2219" s="1283"/>
    </row>
    <row r="2220" spans="1:8" x14ac:dyDescent="0.25">
      <c r="A2220" s="112">
        <v>44645</v>
      </c>
      <c r="B2220" s="21" t="s">
        <v>7655</v>
      </c>
      <c r="C2220" s="13" t="s">
        <v>166</v>
      </c>
      <c r="D2220" s="764"/>
      <c r="E2220" s="22"/>
      <c r="F2220" s="19">
        <v>122000</v>
      </c>
      <c r="G2220" s="14">
        <f t="shared" si="41"/>
        <v>-122000</v>
      </c>
      <c r="H2220" s="1283"/>
    </row>
    <row r="2221" spans="1:8" x14ac:dyDescent="0.25">
      <c r="A2221" s="112">
        <v>44645</v>
      </c>
      <c r="B2221" s="21" t="s">
        <v>37</v>
      </c>
      <c r="C2221" s="13" t="s">
        <v>166</v>
      </c>
      <c r="D2221" s="764"/>
      <c r="E2221" s="22"/>
      <c r="F2221" s="19">
        <v>8000</v>
      </c>
      <c r="G2221" s="14">
        <f t="shared" si="41"/>
        <v>-8000</v>
      </c>
      <c r="H2221" s="1283"/>
    </row>
    <row r="2222" spans="1:8" x14ac:dyDescent="0.25">
      <c r="A2222" s="112">
        <v>44645</v>
      </c>
      <c r="B2222" s="21" t="s">
        <v>7553</v>
      </c>
      <c r="C2222" s="13" t="s">
        <v>166</v>
      </c>
      <c r="D2222" s="764"/>
      <c r="E2222" s="22"/>
      <c r="F2222" s="19">
        <v>7857</v>
      </c>
      <c r="G2222" s="14">
        <f t="shared" si="41"/>
        <v>-7857</v>
      </c>
      <c r="H2222" s="1283"/>
    </row>
    <row r="2223" spans="1:8" x14ac:dyDescent="0.25">
      <c r="A2223" s="112">
        <v>44651</v>
      </c>
      <c r="B2223" s="21" t="s">
        <v>7065</v>
      </c>
      <c r="C2223" s="13" t="s">
        <v>164</v>
      </c>
      <c r="D2223" s="764"/>
      <c r="E2223" s="22"/>
      <c r="F2223" s="19">
        <v>100000</v>
      </c>
      <c r="G2223" s="14">
        <f t="shared" si="41"/>
        <v>-100000</v>
      </c>
      <c r="H2223" s="1244" t="s">
        <v>7745</v>
      </c>
    </row>
    <row r="2224" spans="1:8" x14ac:dyDescent="0.25">
      <c r="A2224" s="112">
        <v>44651</v>
      </c>
      <c r="B2224" s="21" t="s">
        <v>7110</v>
      </c>
      <c r="C2224" s="13" t="s">
        <v>164</v>
      </c>
      <c r="D2224" s="764"/>
      <c r="E2224" s="22"/>
      <c r="F2224" s="19">
        <v>100000</v>
      </c>
      <c r="G2224" s="14">
        <f t="shared" si="41"/>
        <v>-100000</v>
      </c>
      <c r="H2224" s="124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87" t="s">
        <v>7749</v>
      </c>
    </row>
    <row r="2231" spans="1:8" x14ac:dyDescent="0.25">
      <c r="A2231" s="112">
        <v>44651</v>
      </c>
      <c r="B2231" s="21" t="s">
        <v>7728</v>
      </c>
      <c r="C2231" s="13" t="s">
        <v>180</v>
      </c>
      <c r="D2231" s="764" t="s">
        <v>3917</v>
      </c>
      <c r="E2231" s="22"/>
      <c r="F2231" s="19">
        <v>710</v>
      </c>
      <c r="G2231" s="14">
        <f t="shared" si="41"/>
        <v>-710</v>
      </c>
      <c r="H2231" s="128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87" t="s">
        <v>7806</v>
      </c>
    </row>
    <row r="2242" spans="1:8" x14ac:dyDescent="0.25">
      <c r="A2242" s="112">
        <v>44669</v>
      </c>
      <c r="B2242" s="21" t="s">
        <v>7655</v>
      </c>
      <c r="C2242" s="13" t="s">
        <v>7240</v>
      </c>
      <c r="D2242" s="764"/>
      <c r="E2242" s="22"/>
      <c r="F2242" s="19">
        <v>14740</v>
      </c>
      <c r="G2242" s="14">
        <f t="shared" si="41"/>
        <v>-14740</v>
      </c>
      <c r="H2242" s="1287"/>
    </row>
    <row r="2243" spans="1:8" x14ac:dyDescent="0.25">
      <c r="A2243" s="112">
        <v>44669</v>
      </c>
      <c r="B2243" s="21" t="s">
        <v>7110</v>
      </c>
      <c r="C2243" s="13" t="s">
        <v>7240</v>
      </c>
      <c r="D2243" s="764"/>
      <c r="E2243" s="22"/>
      <c r="F2243" s="19">
        <v>12000</v>
      </c>
      <c r="G2243" s="14">
        <f t="shared" si="41"/>
        <v>-12000</v>
      </c>
      <c r="H2243" s="1287"/>
    </row>
    <row r="2244" spans="1:8" x14ac:dyDescent="0.25">
      <c r="A2244" s="112">
        <v>44669</v>
      </c>
      <c r="B2244" s="21" t="s">
        <v>7553</v>
      </c>
      <c r="C2244" s="13" t="s">
        <v>7240</v>
      </c>
      <c r="D2244" s="764"/>
      <c r="E2244" s="22"/>
      <c r="F2244" s="19">
        <v>14230</v>
      </c>
      <c r="G2244" s="14">
        <f t="shared" si="41"/>
        <v>-14230</v>
      </c>
      <c r="H2244" s="128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90" t="s">
        <v>7838</v>
      </c>
    </row>
    <row r="2250" spans="1:8" x14ac:dyDescent="0.25">
      <c r="A2250" s="715">
        <v>44676</v>
      </c>
      <c r="B2250" s="716" t="s">
        <v>3945</v>
      </c>
      <c r="C2250" s="717" t="s">
        <v>437</v>
      </c>
      <c r="D2250" s="764"/>
      <c r="E2250" s="718"/>
      <c r="F2250" s="719">
        <v>2600</v>
      </c>
      <c r="G2250" s="718">
        <f t="shared" si="41"/>
        <v>-2600</v>
      </c>
      <c r="H2250" s="1290"/>
    </row>
    <row r="2251" spans="1:8" x14ac:dyDescent="0.25">
      <c r="A2251" s="715">
        <v>44676</v>
      </c>
      <c r="B2251" s="716" t="s">
        <v>7110</v>
      </c>
      <c r="C2251" s="717" t="s">
        <v>437</v>
      </c>
      <c r="D2251" s="764"/>
      <c r="E2251" s="718"/>
      <c r="F2251" s="719">
        <v>24420</v>
      </c>
      <c r="G2251" s="718">
        <f t="shared" si="41"/>
        <v>-24420</v>
      </c>
      <c r="H2251" s="1290"/>
    </row>
    <row r="2252" spans="1:8" x14ac:dyDescent="0.25">
      <c r="A2252" s="715">
        <v>44676</v>
      </c>
      <c r="B2252" s="716" t="s">
        <v>1399</v>
      </c>
      <c r="C2252" s="717" t="s">
        <v>437</v>
      </c>
      <c r="D2252" s="764"/>
      <c r="E2252" s="718"/>
      <c r="F2252" s="719">
        <v>57690</v>
      </c>
      <c r="G2252" s="718">
        <f t="shared" si="41"/>
        <v>-57690</v>
      </c>
      <c r="H2252" s="1290"/>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5" t="s">
        <v>7985</v>
      </c>
    </row>
    <row r="2267" spans="1:8" x14ac:dyDescent="0.25">
      <c r="A2267" s="112">
        <v>44695</v>
      </c>
      <c r="B2267" s="21" t="s">
        <v>7110</v>
      </c>
      <c r="C2267" s="13" t="s">
        <v>166</v>
      </c>
      <c r="D2267" s="764"/>
      <c r="E2267" s="22"/>
      <c r="F2267" s="19">
        <v>3880</v>
      </c>
      <c r="G2267" s="14">
        <f t="shared" si="41"/>
        <v>-3880</v>
      </c>
      <c r="H2267" s="1245"/>
    </row>
    <row r="2268" spans="1:8" x14ac:dyDescent="0.25">
      <c r="A2268" s="112">
        <v>44695</v>
      </c>
      <c r="B2268" s="21" t="s">
        <v>7553</v>
      </c>
      <c r="C2268" s="13" t="s">
        <v>166</v>
      </c>
      <c r="D2268" s="764"/>
      <c r="E2268" s="22"/>
      <c r="F2268" s="19">
        <v>25143</v>
      </c>
      <c r="G2268" s="14">
        <f t="shared" si="41"/>
        <v>-25143</v>
      </c>
      <c r="H2268" s="1245"/>
    </row>
    <row r="2269" spans="1:8" x14ac:dyDescent="0.25">
      <c r="A2269" s="112">
        <v>44695</v>
      </c>
      <c r="B2269" s="21" t="s">
        <v>1399</v>
      </c>
      <c r="C2269" s="13" t="s">
        <v>166</v>
      </c>
      <c r="D2269" s="764"/>
      <c r="E2269" s="22"/>
      <c r="F2269" s="19">
        <v>116480</v>
      </c>
      <c r="G2269" s="14">
        <f t="shared" si="41"/>
        <v>-116480</v>
      </c>
      <c r="H2269" s="1245"/>
    </row>
    <row r="2270" spans="1:8" x14ac:dyDescent="0.25">
      <c r="A2270" s="112">
        <v>44695</v>
      </c>
      <c r="B2270" s="21" t="s">
        <v>7741</v>
      </c>
      <c r="C2270" s="13" t="s">
        <v>166</v>
      </c>
      <c r="D2270" s="764"/>
      <c r="E2270" s="22"/>
      <c r="F2270" s="19">
        <v>24000</v>
      </c>
      <c r="G2270" s="14">
        <f t="shared" si="41"/>
        <v>-24000</v>
      </c>
      <c r="H2270" s="1245"/>
    </row>
    <row r="2271" spans="1:8" x14ac:dyDescent="0.25">
      <c r="A2271" s="112">
        <v>44695</v>
      </c>
      <c r="B2271" s="21" t="s">
        <v>7810</v>
      </c>
      <c r="C2271" s="13" t="s">
        <v>166</v>
      </c>
      <c r="D2271" s="764"/>
      <c r="E2271" s="22"/>
      <c r="F2271" s="19">
        <v>15820</v>
      </c>
      <c r="G2271" s="14">
        <f t="shared" si="41"/>
        <v>-15820</v>
      </c>
      <c r="H2271" s="1245"/>
    </row>
    <row r="2272" spans="1:8" x14ac:dyDescent="0.25">
      <c r="A2272" s="112">
        <v>44695</v>
      </c>
      <c r="B2272" s="21" t="s">
        <v>3944</v>
      </c>
      <c r="C2272" s="13" t="s">
        <v>166</v>
      </c>
      <c r="D2272" s="764"/>
      <c r="E2272" s="22"/>
      <c r="F2272" s="19">
        <v>5200</v>
      </c>
      <c r="G2272" s="14">
        <f t="shared" si="41"/>
        <v>-5200</v>
      </c>
      <c r="H2272" s="1245"/>
    </row>
    <row r="2273" spans="1:8" x14ac:dyDescent="0.25">
      <c r="A2273" s="112">
        <v>44695</v>
      </c>
      <c r="B2273" s="21" t="s">
        <v>1399</v>
      </c>
      <c r="C2273" s="13" t="s">
        <v>166</v>
      </c>
      <c r="D2273" s="764"/>
      <c r="E2273" s="22"/>
      <c r="F2273" s="19">
        <v>84852</v>
      </c>
      <c r="G2273" s="14">
        <f t="shared" si="41"/>
        <v>-84852</v>
      </c>
      <c r="H2273" s="1245"/>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6" t="s">
        <v>7893</v>
      </c>
    </row>
    <row r="2278" spans="1:8" x14ac:dyDescent="0.25">
      <c r="A2278" s="112">
        <v>44709</v>
      </c>
      <c r="B2278" s="21" t="s">
        <v>7065</v>
      </c>
      <c r="C2278" s="13" t="s">
        <v>164</v>
      </c>
      <c r="D2278" s="764"/>
      <c r="E2278" s="22"/>
      <c r="F2278" s="19">
        <v>49174</v>
      </c>
      <c r="G2278" s="14">
        <f t="shared" si="41"/>
        <v>-49174</v>
      </c>
      <c r="H2278" s="1246"/>
    </row>
    <row r="2279" spans="1:8" x14ac:dyDescent="0.25">
      <c r="A2279" s="112">
        <v>44709</v>
      </c>
      <c r="B2279" s="21" t="s">
        <v>7110</v>
      </c>
      <c r="C2279" s="13" t="s">
        <v>164</v>
      </c>
      <c r="D2279" s="764"/>
      <c r="E2279" s="22"/>
      <c r="F2279" s="19">
        <v>36997</v>
      </c>
      <c r="G2279" s="14">
        <f t="shared" si="41"/>
        <v>-36997</v>
      </c>
      <c r="H2279" s="1246"/>
    </row>
    <row r="2280" spans="1:8" x14ac:dyDescent="0.25">
      <c r="A2280" s="112">
        <v>44709</v>
      </c>
      <c r="B2280" s="21" t="s">
        <v>7553</v>
      </c>
      <c r="C2280" s="13" t="s">
        <v>164</v>
      </c>
      <c r="D2280" s="764"/>
      <c r="E2280" s="22"/>
      <c r="F2280" s="19">
        <v>4174</v>
      </c>
      <c r="G2280" s="14">
        <f t="shared" si="41"/>
        <v>-4174</v>
      </c>
      <c r="H2280" s="124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6" t="s">
        <v>7894</v>
      </c>
    </row>
    <row r="2284" spans="1:8" x14ac:dyDescent="0.25">
      <c r="A2284" s="112">
        <v>44711</v>
      </c>
      <c r="B2284" s="21" t="s">
        <v>7553</v>
      </c>
      <c r="C2284" s="13" t="s">
        <v>5680</v>
      </c>
      <c r="D2284" s="764"/>
      <c r="E2284" s="22"/>
      <c r="F2284" s="19">
        <v>5700</v>
      </c>
      <c r="G2284" s="14">
        <f t="shared" si="41"/>
        <v>-5700</v>
      </c>
      <c r="H2284" s="1246"/>
    </row>
    <row r="2285" spans="1:8" x14ac:dyDescent="0.25">
      <c r="A2285" s="112">
        <v>44711</v>
      </c>
      <c r="B2285" s="21" t="s">
        <v>7741</v>
      </c>
      <c r="C2285" s="13" t="s">
        <v>5680</v>
      </c>
      <c r="D2285" s="764"/>
      <c r="E2285" s="22"/>
      <c r="F2285" s="19">
        <v>74800</v>
      </c>
      <c r="G2285" s="14">
        <f t="shared" si="41"/>
        <v>-74800</v>
      </c>
      <c r="H2285" s="1246"/>
    </row>
    <row r="2286" spans="1:8" x14ac:dyDescent="0.25">
      <c r="A2286" s="112">
        <v>44711</v>
      </c>
      <c r="B2286" s="21" t="s">
        <v>7553</v>
      </c>
      <c r="C2286" s="13" t="s">
        <v>7240</v>
      </c>
      <c r="D2286" s="764"/>
      <c r="E2286" s="22"/>
      <c r="F2286" s="19">
        <v>50320</v>
      </c>
      <c r="G2286" s="14">
        <f t="shared" si="41"/>
        <v>-50320</v>
      </c>
      <c r="H2286" s="1246" t="s">
        <v>7895</v>
      </c>
    </row>
    <row r="2287" spans="1:8" x14ac:dyDescent="0.25">
      <c r="A2287" s="112">
        <v>44711</v>
      </c>
      <c r="B2287" s="21" t="s">
        <v>7655</v>
      </c>
      <c r="C2287" s="13" t="s">
        <v>7240</v>
      </c>
      <c r="D2287" s="764"/>
      <c r="E2287" s="22"/>
      <c r="F2287" s="19">
        <v>8180</v>
      </c>
      <c r="G2287" s="14">
        <f t="shared" si="41"/>
        <v>-8180</v>
      </c>
      <c r="H2287" s="1246"/>
    </row>
    <row r="2288" spans="1:8" x14ac:dyDescent="0.25">
      <c r="A2288" s="112">
        <v>44711</v>
      </c>
      <c r="B2288" s="21" t="s">
        <v>7810</v>
      </c>
      <c r="C2288" s="13" t="s">
        <v>7240</v>
      </c>
      <c r="D2288" s="764"/>
      <c r="E2288" s="22"/>
      <c r="F2288" s="19">
        <v>17000</v>
      </c>
      <c r="G2288" s="14">
        <f t="shared" si="41"/>
        <v>-17000</v>
      </c>
      <c r="H2288" s="124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6" t="s">
        <v>1156</v>
      </c>
    </row>
    <row r="2292" spans="1:8" x14ac:dyDescent="0.25">
      <c r="A2292" s="112">
        <v>44712</v>
      </c>
      <c r="B2292" s="21" t="s">
        <v>6407</v>
      </c>
      <c r="C2292" s="13" t="s">
        <v>3010</v>
      </c>
      <c r="D2292" s="764"/>
      <c r="E2292" s="22"/>
      <c r="F2292" s="19">
        <v>28567</v>
      </c>
      <c r="G2292" s="14">
        <f t="shared" si="41"/>
        <v>-28567</v>
      </c>
      <c r="H2292" s="1246"/>
    </row>
    <row r="2293" spans="1:8" x14ac:dyDescent="0.25">
      <c r="A2293" s="112">
        <v>44712</v>
      </c>
      <c r="B2293" s="21" t="s">
        <v>6509</v>
      </c>
      <c r="C2293" s="13" t="s">
        <v>3010</v>
      </c>
      <c r="D2293" s="764"/>
      <c r="E2293" s="22"/>
      <c r="F2293" s="19">
        <v>3053</v>
      </c>
      <c r="G2293" s="14">
        <f t="shared" si="41"/>
        <v>-3053</v>
      </c>
      <c r="H2293" s="124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86" t="s">
        <v>7988</v>
      </c>
    </row>
    <row r="2301" spans="1:8" x14ac:dyDescent="0.25">
      <c r="A2301" s="112">
        <v>44726</v>
      </c>
      <c r="B2301" s="21" t="s">
        <v>7914</v>
      </c>
      <c r="C2301" s="13" t="s">
        <v>166</v>
      </c>
      <c r="D2301" s="764"/>
      <c r="E2301" s="22"/>
      <c r="F2301" s="19">
        <v>132000</v>
      </c>
      <c r="G2301" s="14">
        <f t="shared" si="41"/>
        <v>-132000</v>
      </c>
      <c r="H2301" s="1286"/>
    </row>
    <row r="2302" spans="1:8" x14ac:dyDescent="0.25">
      <c r="A2302" s="112">
        <v>44726</v>
      </c>
      <c r="B2302" s="21" t="s">
        <v>7914</v>
      </c>
      <c r="C2302" s="13" t="s">
        <v>166</v>
      </c>
      <c r="D2302" s="764"/>
      <c r="E2302" s="22"/>
      <c r="F2302" s="19">
        <v>151650</v>
      </c>
      <c r="G2302" s="14">
        <f t="shared" si="41"/>
        <v>-151650</v>
      </c>
      <c r="H2302" s="1286"/>
    </row>
    <row r="2303" spans="1:8" x14ac:dyDescent="0.25">
      <c r="A2303" s="112">
        <v>44726</v>
      </c>
      <c r="B2303" s="21" t="s">
        <v>7914</v>
      </c>
      <c r="C2303" s="13" t="s">
        <v>166</v>
      </c>
      <c r="D2303" s="764"/>
      <c r="E2303" s="22"/>
      <c r="F2303" s="19">
        <f>500000-F2302-F2301-F2300</f>
        <v>60560</v>
      </c>
      <c r="G2303" s="14">
        <f t="shared" si="41"/>
        <v>-60560</v>
      </c>
      <c r="H2303" s="1286"/>
    </row>
    <row r="2304" spans="1:8" ht="15.75" customHeight="1" x14ac:dyDescent="0.25">
      <c r="A2304" s="112">
        <v>44726</v>
      </c>
      <c r="B2304" s="21" t="s">
        <v>2932</v>
      </c>
      <c r="C2304" s="13" t="s">
        <v>161</v>
      </c>
      <c r="D2304" s="764"/>
      <c r="E2304" s="22"/>
      <c r="F2304" s="19">
        <v>21337</v>
      </c>
      <c r="G2304" s="14">
        <f t="shared" si="41"/>
        <v>-21337</v>
      </c>
      <c r="H2304" s="1294" t="s">
        <v>7957</v>
      </c>
    </row>
    <row r="2305" spans="1:8" ht="15.75" customHeight="1" x14ac:dyDescent="0.25">
      <c r="A2305" s="112">
        <v>44726</v>
      </c>
      <c r="B2305" s="21" t="s">
        <v>7728</v>
      </c>
      <c r="C2305" s="13" t="s">
        <v>161</v>
      </c>
      <c r="D2305" s="764"/>
      <c r="E2305" s="22"/>
      <c r="F2305" s="19">
        <v>44651</v>
      </c>
      <c r="G2305" s="14">
        <f t="shared" si="41"/>
        <v>-44651</v>
      </c>
      <c r="H2305" s="1294"/>
    </row>
    <row r="2306" spans="1:8" ht="15.75" customHeight="1" x14ac:dyDescent="0.25">
      <c r="A2306" s="112">
        <v>44726</v>
      </c>
      <c r="B2306" s="21" t="s">
        <v>7741</v>
      </c>
      <c r="C2306" s="13" t="s">
        <v>161</v>
      </c>
      <c r="D2306" s="764"/>
      <c r="E2306" s="22"/>
      <c r="F2306" s="19">
        <v>33179</v>
      </c>
      <c r="G2306" s="14">
        <f t="shared" si="41"/>
        <v>-33179</v>
      </c>
      <c r="H2306" s="1294"/>
    </row>
    <row r="2307" spans="1:8" ht="16.5" customHeight="1" x14ac:dyDescent="0.25">
      <c r="A2307" s="112">
        <v>44726</v>
      </c>
      <c r="B2307" s="21" t="s">
        <v>7810</v>
      </c>
      <c r="C2307" s="13" t="s">
        <v>161</v>
      </c>
      <c r="D2307" s="764"/>
      <c r="E2307" s="22"/>
      <c r="F2307" s="19">
        <v>58530</v>
      </c>
      <c r="G2307" s="14">
        <f t="shared" si="41"/>
        <v>-58530</v>
      </c>
      <c r="H2307" s="129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61" t="s">
        <v>8530</v>
      </c>
    </row>
    <row r="2433" spans="1:8" x14ac:dyDescent="0.25">
      <c r="A2433" s="112">
        <v>44859</v>
      </c>
      <c r="B2433" s="21" t="s">
        <v>8068</v>
      </c>
      <c r="C2433" s="13" t="s">
        <v>166</v>
      </c>
      <c r="D2433" s="764"/>
      <c r="E2433" s="22"/>
      <c r="F2433" s="19">
        <v>31200</v>
      </c>
      <c r="G2433" s="14">
        <f t="shared" si="47"/>
        <v>-31200</v>
      </c>
      <c r="H2433" s="1261"/>
    </row>
    <row r="2434" spans="1:8" x14ac:dyDescent="0.25">
      <c r="A2434" s="112">
        <v>44859</v>
      </c>
      <c r="B2434" s="21" t="s">
        <v>8547</v>
      </c>
      <c r="C2434" s="13" t="s">
        <v>166</v>
      </c>
      <c r="D2434" s="764"/>
      <c r="E2434" s="22"/>
      <c r="F2434" s="19">
        <v>109718</v>
      </c>
      <c r="G2434" s="14">
        <f t="shared" si="47"/>
        <v>-109718</v>
      </c>
      <c r="H2434" s="126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76" t="s">
        <v>8542</v>
      </c>
    </row>
    <row r="2439" spans="1:8" x14ac:dyDescent="0.25">
      <c r="A2439" s="112">
        <v>44860</v>
      </c>
      <c r="B2439" s="21" t="s">
        <v>6503</v>
      </c>
      <c r="C2439" s="13" t="s">
        <v>2195</v>
      </c>
      <c r="D2439" s="764"/>
      <c r="E2439" s="22"/>
      <c r="F2439" s="19">
        <v>23920</v>
      </c>
      <c r="G2439" s="14">
        <f t="shared" si="47"/>
        <v>-23920</v>
      </c>
      <c r="H2439" s="1276"/>
    </row>
    <row r="2440" spans="1:8" x14ac:dyDescent="0.25">
      <c r="A2440" s="112">
        <v>44860</v>
      </c>
      <c r="B2440" s="21" t="s">
        <v>8547</v>
      </c>
      <c r="C2440" s="13" t="s">
        <v>2195</v>
      </c>
      <c r="D2440" s="764"/>
      <c r="E2440" s="22"/>
      <c r="F2440" s="19">
        <v>11080</v>
      </c>
      <c r="G2440" s="14">
        <f t="shared" si="47"/>
        <v>-11080</v>
      </c>
      <c r="H2440" s="127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9" t="s">
        <v>8615</v>
      </c>
    </row>
    <row r="2462" spans="1:8" x14ac:dyDescent="0.25">
      <c r="A2462" s="112">
        <v>44872</v>
      </c>
      <c r="B2462" s="21" t="s">
        <v>7810</v>
      </c>
      <c r="C2462" s="13" t="s">
        <v>162</v>
      </c>
      <c r="D2462" s="764"/>
      <c r="E2462" s="22"/>
      <c r="F2462" s="19">
        <v>35000</v>
      </c>
      <c r="G2462" s="14">
        <f t="shared" si="47"/>
        <v>-35000</v>
      </c>
      <c r="H2462" s="1249"/>
    </row>
    <row r="2463" spans="1:8" x14ac:dyDescent="0.25">
      <c r="A2463" s="112">
        <v>44872</v>
      </c>
      <c r="B2463" s="21" t="s">
        <v>7914</v>
      </c>
      <c r="C2463" s="13" t="s">
        <v>162</v>
      </c>
      <c r="D2463" s="764"/>
      <c r="E2463" s="22"/>
      <c r="F2463" s="19">
        <v>26000</v>
      </c>
      <c r="G2463" s="14">
        <f t="shared" si="47"/>
        <v>-26000</v>
      </c>
      <c r="H2463" s="1249"/>
    </row>
    <row r="2464" spans="1:8" x14ac:dyDescent="0.25">
      <c r="A2464" s="112">
        <v>44872</v>
      </c>
      <c r="B2464" s="21" t="s">
        <v>8068</v>
      </c>
      <c r="C2464" s="13" t="s">
        <v>162</v>
      </c>
      <c r="D2464" s="764"/>
      <c r="E2464" s="22"/>
      <c r="F2464" s="19">
        <v>32000</v>
      </c>
      <c r="G2464" s="14">
        <f t="shared" si="47"/>
        <v>-32000</v>
      </c>
      <c r="H2464" s="124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9" t="s">
        <v>8664</v>
      </c>
    </row>
    <row r="2479" spans="1:8" x14ac:dyDescent="0.25">
      <c r="A2479" s="112">
        <v>44882</v>
      </c>
      <c r="B2479" s="21" t="s">
        <v>8034</v>
      </c>
      <c r="C2479" s="13" t="s">
        <v>161</v>
      </c>
      <c r="D2479" s="764"/>
      <c r="E2479" s="22"/>
      <c r="F2479" s="19">
        <v>60000</v>
      </c>
      <c r="G2479" s="14">
        <f t="shared" si="48"/>
        <v>-60000</v>
      </c>
      <c r="H2479" s="1249"/>
    </row>
    <row r="2480" spans="1:8" x14ac:dyDescent="0.25">
      <c r="A2480" s="112">
        <v>44882</v>
      </c>
      <c r="B2480" s="21" t="s">
        <v>7810</v>
      </c>
      <c r="C2480" s="13" t="s">
        <v>161</v>
      </c>
      <c r="D2480" s="764"/>
      <c r="E2480" s="22"/>
      <c r="F2480" s="19">
        <v>95</v>
      </c>
      <c r="G2480" s="14">
        <f t="shared" si="48"/>
        <v>-95</v>
      </c>
      <c r="H2480" s="1249" t="s">
        <v>4976</v>
      </c>
    </row>
    <row r="2481" spans="1:8" x14ac:dyDescent="0.25">
      <c r="A2481" s="112">
        <v>44882</v>
      </c>
      <c r="B2481" s="21" t="s">
        <v>8034</v>
      </c>
      <c r="C2481" s="13" t="s">
        <v>161</v>
      </c>
      <c r="D2481" s="764"/>
      <c r="E2481" s="22"/>
      <c r="F2481" s="19">
        <v>383</v>
      </c>
      <c r="G2481" s="14">
        <f t="shared" si="48"/>
        <v>-383</v>
      </c>
      <c r="H2481" s="1249"/>
    </row>
    <row r="2482" spans="1:8" x14ac:dyDescent="0.25">
      <c r="A2482" s="112">
        <v>44882</v>
      </c>
      <c r="B2482" s="21" t="s">
        <v>7914</v>
      </c>
      <c r="C2482" s="13" t="s">
        <v>8384</v>
      </c>
      <c r="D2482" s="764"/>
      <c r="E2482" s="22"/>
      <c r="F2482" s="19">
        <v>100000</v>
      </c>
      <c r="G2482" s="14">
        <f t="shared" si="48"/>
        <v>-100000</v>
      </c>
      <c r="H2482" s="1285" t="s">
        <v>8623</v>
      </c>
    </row>
    <row r="2483" spans="1:8" x14ac:dyDescent="0.25">
      <c r="A2483" s="112">
        <v>44882</v>
      </c>
      <c r="B2483" s="21" t="s">
        <v>8034</v>
      </c>
      <c r="C2483" s="13" t="s">
        <v>8384</v>
      </c>
      <c r="D2483" s="764"/>
      <c r="E2483" s="22"/>
      <c r="F2483" s="19">
        <v>100000</v>
      </c>
      <c r="G2483" s="14">
        <f t="shared" si="48"/>
        <v>-100000</v>
      </c>
      <c r="H2483" s="1285"/>
    </row>
    <row r="2484" spans="1:8" x14ac:dyDescent="0.25">
      <c r="A2484" s="112">
        <v>44882</v>
      </c>
      <c r="B2484" s="21" t="s">
        <v>8547</v>
      </c>
      <c r="C2484" s="13" t="s">
        <v>8384</v>
      </c>
      <c r="D2484" s="764"/>
      <c r="E2484" s="22"/>
      <c r="F2484" s="19">
        <v>200000</v>
      </c>
      <c r="G2484" s="14">
        <f t="shared" si="48"/>
        <v>-200000</v>
      </c>
      <c r="H2484" s="1285"/>
    </row>
    <row r="2485" spans="1:8" x14ac:dyDescent="0.25">
      <c r="A2485" s="112">
        <v>44882</v>
      </c>
      <c r="B2485" s="21" t="s">
        <v>8521</v>
      </c>
      <c r="C2485" s="13" t="s">
        <v>8384</v>
      </c>
      <c r="D2485" s="764"/>
      <c r="E2485" s="22"/>
      <c r="F2485" s="19">
        <v>100000</v>
      </c>
      <c r="G2485" s="14">
        <f t="shared" si="48"/>
        <v>-100000</v>
      </c>
      <c r="H2485" s="128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6" t="s">
        <v>8709</v>
      </c>
    </row>
    <row r="2501" spans="1:8" x14ac:dyDescent="0.25">
      <c r="A2501" s="112">
        <v>44888</v>
      </c>
      <c r="B2501" s="21" t="s">
        <v>7946</v>
      </c>
      <c r="C2501" s="13" t="s">
        <v>180</v>
      </c>
      <c r="D2501" s="764"/>
      <c r="E2501" s="22"/>
      <c r="F2501" s="19">
        <v>28000</v>
      </c>
      <c r="G2501" s="14">
        <f t="shared" si="48"/>
        <v>-28000</v>
      </c>
      <c r="H2501" s="1246"/>
    </row>
    <row r="2502" spans="1:8" x14ac:dyDescent="0.25">
      <c r="A2502" s="112">
        <v>44888</v>
      </c>
      <c r="B2502" s="21" t="s">
        <v>8034</v>
      </c>
      <c r="C2502" s="13" t="s">
        <v>180</v>
      </c>
      <c r="D2502" s="764"/>
      <c r="E2502" s="22"/>
      <c r="F2502" s="19">
        <v>100000</v>
      </c>
      <c r="G2502" s="14">
        <f t="shared" si="48"/>
        <v>-100000</v>
      </c>
      <c r="H2502" s="124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83" t="s">
        <v>8623</v>
      </c>
    </row>
    <row r="2516" spans="1:8" x14ac:dyDescent="0.25">
      <c r="A2516" s="112">
        <v>44889</v>
      </c>
      <c r="B2516" s="21" t="s">
        <v>8034</v>
      </c>
      <c r="C2516" s="13" t="s">
        <v>8384</v>
      </c>
      <c r="D2516" s="764"/>
      <c r="E2516" s="22"/>
      <c r="F2516" s="19">
        <v>50117</v>
      </c>
      <c r="G2516" s="14">
        <f t="shared" si="48"/>
        <v>-50117</v>
      </c>
      <c r="H2516" s="1283"/>
    </row>
    <row r="2517" spans="1:8" x14ac:dyDescent="0.25">
      <c r="A2517" s="112">
        <v>44889</v>
      </c>
      <c r="B2517" s="21" t="s">
        <v>8068</v>
      </c>
      <c r="C2517" s="13" t="s">
        <v>8384</v>
      </c>
      <c r="D2517" s="764"/>
      <c r="E2517" s="22"/>
      <c r="F2517" s="19">
        <v>13496</v>
      </c>
      <c r="G2517" s="14">
        <f t="shared" si="48"/>
        <v>-13496</v>
      </c>
      <c r="H2517" s="1283"/>
    </row>
    <row r="2518" spans="1:8" x14ac:dyDescent="0.25">
      <c r="A2518" s="112">
        <v>44889</v>
      </c>
      <c r="B2518" s="21" t="s">
        <v>8547</v>
      </c>
      <c r="C2518" s="13" t="s">
        <v>8384</v>
      </c>
      <c r="D2518" s="764"/>
      <c r="E2518" s="22"/>
      <c r="F2518" s="19">
        <v>115599</v>
      </c>
      <c r="G2518" s="14">
        <f t="shared" si="48"/>
        <v>-115599</v>
      </c>
      <c r="H2518" s="1283"/>
    </row>
    <row r="2519" spans="1:8" x14ac:dyDescent="0.25">
      <c r="A2519" s="112">
        <v>44889</v>
      </c>
      <c r="B2519" s="21" t="s">
        <v>8521</v>
      </c>
      <c r="C2519" s="13" t="s">
        <v>8384</v>
      </c>
      <c r="D2519" s="764"/>
      <c r="E2519" s="22"/>
      <c r="F2519" s="19">
        <v>72562</v>
      </c>
      <c r="G2519" s="14">
        <f t="shared" si="48"/>
        <v>-72562</v>
      </c>
      <c r="H2519" s="1283"/>
    </row>
    <row r="2520" spans="1:8" x14ac:dyDescent="0.25">
      <c r="A2520" s="112">
        <v>44889</v>
      </c>
      <c r="B2520" s="21" t="s">
        <v>8645</v>
      </c>
      <c r="C2520" s="13" t="s">
        <v>8384</v>
      </c>
      <c r="D2520" s="764"/>
      <c r="E2520" s="22"/>
      <c r="F2520" s="19">
        <f>500000-F2519-F2518-F2517-F2516-F2515</f>
        <v>197007</v>
      </c>
      <c r="G2520" s="14">
        <f t="shared" si="48"/>
        <v>-197007</v>
      </c>
      <c r="H2520" s="128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2" t="s">
        <v>8812</v>
      </c>
    </row>
    <row r="2546" spans="1:8" x14ac:dyDescent="0.25">
      <c r="A2546" s="112">
        <v>44902</v>
      </c>
      <c r="B2546" s="10" t="s">
        <v>8329</v>
      </c>
      <c r="C2546" s="11" t="s">
        <v>2195</v>
      </c>
      <c r="F2546" s="9">
        <v>39210</v>
      </c>
      <c r="G2546" s="6">
        <f t="shared" si="48"/>
        <v>-39210</v>
      </c>
      <c r="H2546" s="1252"/>
    </row>
    <row r="2547" spans="1:8" x14ac:dyDescent="0.25">
      <c r="A2547" s="112">
        <v>44902</v>
      </c>
      <c r="B2547" s="10" t="s">
        <v>8547</v>
      </c>
      <c r="C2547" s="11" t="s">
        <v>2195</v>
      </c>
      <c r="F2547" s="9">
        <v>18450</v>
      </c>
      <c r="G2547" s="6">
        <f t="shared" si="48"/>
        <v>-18450</v>
      </c>
      <c r="H2547" s="1252"/>
    </row>
    <row r="2548" spans="1:8" x14ac:dyDescent="0.25">
      <c r="A2548" s="112">
        <v>44902</v>
      </c>
      <c r="B2548" s="10" t="s">
        <v>8645</v>
      </c>
      <c r="C2548" s="11" t="s">
        <v>2195</v>
      </c>
      <c r="F2548" s="9">
        <v>80000</v>
      </c>
      <c r="G2548" s="6">
        <f t="shared" si="48"/>
        <v>-80000</v>
      </c>
      <c r="H2548" s="125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5" t="s">
        <v>8839</v>
      </c>
    </row>
    <row r="2556" spans="1:8" x14ac:dyDescent="0.25">
      <c r="A2556" s="112">
        <v>44907</v>
      </c>
      <c r="B2556" s="742" t="s">
        <v>3945</v>
      </c>
      <c r="C2556" s="749" t="s">
        <v>437</v>
      </c>
      <c r="D2556" s="777"/>
      <c r="E2556" s="750"/>
      <c r="F2556" s="751">
        <v>68000</v>
      </c>
      <c r="G2556" s="752">
        <f t="shared" si="48"/>
        <v>-68000</v>
      </c>
      <c r="H2556" s="1245"/>
    </row>
    <row r="2557" spans="1:8" x14ac:dyDescent="0.25">
      <c r="A2557" s="112">
        <v>44907</v>
      </c>
      <c r="B2557" s="742" t="s">
        <v>1399</v>
      </c>
      <c r="C2557" s="749" t="s">
        <v>437</v>
      </c>
      <c r="D2557" s="777"/>
      <c r="E2557" s="750"/>
      <c r="F2557" s="751">
        <v>7600</v>
      </c>
      <c r="G2557" s="752">
        <f t="shared" si="48"/>
        <v>-7600</v>
      </c>
      <c r="H2557" s="1245"/>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7" t="s">
        <v>8857</v>
      </c>
    </row>
    <row r="2566" spans="1:8" x14ac:dyDescent="0.25">
      <c r="A2566" s="112">
        <v>44910</v>
      </c>
      <c r="B2566" s="742" t="s">
        <v>6503</v>
      </c>
      <c r="C2566" s="749" t="s">
        <v>164</v>
      </c>
      <c r="D2566" s="777"/>
      <c r="E2566" s="750"/>
      <c r="F2566" s="751">
        <v>9328</v>
      </c>
      <c r="G2566" s="752">
        <f t="shared" si="48"/>
        <v>-9328</v>
      </c>
      <c r="H2566" s="1257"/>
    </row>
    <row r="2567" spans="1:8" x14ac:dyDescent="0.25">
      <c r="A2567" s="112">
        <v>44910</v>
      </c>
      <c r="B2567" s="742" t="s">
        <v>7065</v>
      </c>
      <c r="C2567" s="749" t="s">
        <v>164</v>
      </c>
      <c r="D2567" s="777"/>
      <c r="E2567" s="750"/>
      <c r="F2567" s="751">
        <v>247</v>
      </c>
      <c r="G2567" s="752">
        <f t="shared" si="48"/>
        <v>-247</v>
      </c>
      <c r="H2567" s="1257"/>
    </row>
    <row r="2568" spans="1:8" x14ac:dyDescent="0.25">
      <c r="A2568" s="112">
        <v>44910</v>
      </c>
      <c r="B2568" s="742" t="s">
        <v>1399</v>
      </c>
      <c r="C2568" s="749" t="s">
        <v>164</v>
      </c>
      <c r="D2568" s="777"/>
      <c r="E2568" s="750"/>
      <c r="F2568" s="751">
        <v>23076</v>
      </c>
      <c r="G2568" s="752">
        <f t="shared" si="48"/>
        <v>-23076</v>
      </c>
      <c r="H2568" s="125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6" t="s">
        <v>8884</v>
      </c>
    </row>
    <row r="2574" spans="1:8" x14ac:dyDescent="0.25">
      <c r="A2574" s="112">
        <v>44914</v>
      </c>
      <c r="B2574" s="742" t="s">
        <v>6509</v>
      </c>
      <c r="C2574" s="749" t="s">
        <v>3010</v>
      </c>
      <c r="D2574" s="777"/>
      <c r="E2574" s="750"/>
      <c r="F2574" s="751">
        <v>11000</v>
      </c>
      <c r="G2574" s="752">
        <f t="shared" si="48"/>
        <v>-11000</v>
      </c>
      <c r="H2574" s="1256"/>
    </row>
    <row r="2575" spans="1:8" x14ac:dyDescent="0.25">
      <c r="A2575" s="112">
        <v>44914</v>
      </c>
      <c r="B2575" s="742" t="s">
        <v>8034</v>
      </c>
      <c r="C2575" s="749" t="s">
        <v>3010</v>
      </c>
      <c r="D2575" s="777"/>
      <c r="E2575" s="750"/>
      <c r="F2575" s="751">
        <v>25000</v>
      </c>
      <c r="G2575" s="752">
        <f t="shared" si="48"/>
        <v>-25000</v>
      </c>
      <c r="H2575" s="125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2" t="s">
        <v>8977</v>
      </c>
    </row>
    <row r="2607" spans="1:8" x14ac:dyDescent="0.25">
      <c r="A2607" s="112">
        <v>44933</v>
      </c>
      <c r="B2607" s="21" t="s">
        <v>7914</v>
      </c>
      <c r="C2607" s="13" t="s">
        <v>8445</v>
      </c>
      <c r="D2607" s="764"/>
      <c r="E2607" s="22"/>
      <c r="F2607" s="19">
        <v>42000</v>
      </c>
      <c r="G2607" s="14">
        <f t="shared" si="48"/>
        <v>-42000</v>
      </c>
      <c r="H2607" s="119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50" t="s">
        <v>9022</v>
      </c>
    </row>
    <row r="2616" spans="1:8" x14ac:dyDescent="0.25">
      <c r="A2616" s="112">
        <v>44942</v>
      </c>
      <c r="B2616" s="21" t="s">
        <v>7914</v>
      </c>
      <c r="C2616" s="13" t="s">
        <v>166</v>
      </c>
      <c r="D2616" s="764"/>
      <c r="E2616" s="781"/>
      <c r="F2616" s="141">
        <v>25000</v>
      </c>
      <c r="G2616" s="782">
        <f t="shared" si="48"/>
        <v>-25000</v>
      </c>
      <c r="H2616" s="1198"/>
    </row>
    <row r="2617" spans="1:8" x14ac:dyDescent="0.25">
      <c r="A2617" s="112">
        <v>44942</v>
      </c>
      <c r="B2617" s="21" t="s">
        <v>8329</v>
      </c>
      <c r="C2617" s="13" t="s">
        <v>166</v>
      </c>
      <c r="D2617" s="764"/>
      <c r="E2617" s="781"/>
      <c r="F2617" s="141">
        <v>69000</v>
      </c>
      <c r="G2617" s="782">
        <f t="shared" si="48"/>
        <v>-69000</v>
      </c>
      <c r="H2617" s="1198"/>
    </row>
    <row r="2618" spans="1:8" x14ac:dyDescent="0.25">
      <c r="A2618" s="112">
        <v>44942</v>
      </c>
      <c r="B2618" s="21" t="s">
        <v>8547</v>
      </c>
      <c r="C2618" s="13" t="s">
        <v>166</v>
      </c>
      <c r="D2618" s="764"/>
      <c r="E2618" s="781"/>
      <c r="F2618" s="141">
        <v>15282</v>
      </c>
      <c r="G2618" s="782">
        <f t="shared" si="48"/>
        <v>-15282</v>
      </c>
      <c r="H2618" s="1198"/>
    </row>
    <row r="2619" spans="1:8" ht="16.5" thickBot="1" x14ac:dyDescent="0.3">
      <c r="A2619" s="112">
        <v>44942</v>
      </c>
      <c r="B2619" s="21" t="s">
        <v>8521</v>
      </c>
      <c r="C2619" s="13" t="s">
        <v>166</v>
      </c>
      <c r="D2619" s="764"/>
      <c r="E2619" s="781"/>
      <c r="F2619" s="784">
        <v>47891</v>
      </c>
      <c r="G2619" s="782">
        <f t="shared" si="48"/>
        <v>-47891</v>
      </c>
      <c r="H2619" s="1251"/>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2" t="s">
        <v>9063</v>
      </c>
    </row>
    <row r="2626" spans="1:8" x14ac:dyDescent="0.25">
      <c r="A2626" s="112">
        <v>44949</v>
      </c>
      <c r="B2626" s="21" t="s">
        <v>8329</v>
      </c>
      <c r="C2626" s="13" t="s">
        <v>169</v>
      </c>
      <c r="D2626" s="764"/>
      <c r="E2626" s="22"/>
      <c r="F2626" s="19">
        <v>65227</v>
      </c>
      <c r="G2626" s="782">
        <f t="shared" si="48"/>
        <v>-65227</v>
      </c>
      <c r="H2626" s="119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50" t="s">
        <v>10304</v>
      </c>
    </row>
    <row r="2641" spans="1:8" x14ac:dyDescent="0.25">
      <c r="A2641" s="112">
        <v>44957</v>
      </c>
      <c r="B2641" s="21" t="s">
        <v>8645</v>
      </c>
      <c r="C2641" s="13" t="s">
        <v>7240</v>
      </c>
      <c r="D2641" s="764"/>
      <c r="E2641" s="22"/>
      <c r="F2641" s="19">
        <v>443603</v>
      </c>
      <c r="G2641" s="14">
        <f t="shared" ref="G2641" si="49">E2641-F2641</f>
        <v>-443603</v>
      </c>
      <c r="H2641" s="1251"/>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6" t="s">
        <v>9295</v>
      </c>
      <c r="E2647" s="22">
        <v>56000</v>
      </c>
      <c r="F2647" s="19"/>
      <c r="G2647" s="14">
        <f t="shared" si="48"/>
        <v>56000</v>
      </c>
      <c r="H2647" s="920" t="s">
        <v>9296</v>
      </c>
    </row>
    <row r="2648" spans="1:8" x14ac:dyDescent="0.25">
      <c r="A2648" s="112">
        <v>44965</v>
      </c>
      <c r="B2648" s="21" t="s">
        <v>8034</v>
      </c>
      <c r="C2648" s="13" t="s">
        <v>169</v>
      </c>
      <c r="D2648" s="121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6" t="s">
        <v>9297</v>
      </c>
    </row>
    <row r="2650" spans="1:8" x14ac:dyDescent="0.25">
      <c r="A2650" s="112">
        <v>44965</v>
      </c>
      <c r="B2650" s="21" t="s">
        <v>8329</v>
      </c>
      <c r="C2650" s="13" t="s">
        <v>169</v>
      </c>
      <c r="D2650" s="764"/>
      <c r="E2650" s="22"/>
      <c r="F2650" s="19">
        <v>10173</v>
      </c>
      <c r="G2650" s="14">
        <f t="shared" si="48"/>
        <v>-10173</v>
      </c>
      <c r="H2650" s="1187"/>
    </row>
    <row r="2651" spans="1:8" x14ac:dyDescent="0.25">
      <c r="A2651" s="112">
        <v>44965</v>
      </c>
      <c r="B2651" s="21" t="s">
        <v>8864</v>
      </c>
      <c r="C2651" s="13" t="s">
        <v>169</v>
      </c>
      <c r="D2651" s="764"/>
      <c r="E2651" s="22"/>
      <c r="F2651" s="19">
        <v>23827</v>
      </c>
      <c r="G2651" s="14">
        <f t="shared" si="48"/>
        <v>-23827</v>
      </c>
      <c r="H2651" s="118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6" t="s">
        <v>9313</v>
      </c>
      <c r="E2653" s="22">
        <f>6336+15840+24960+43680</f>
        <v>90816</v>
      </c>
      <c r="F2653" s="19"/>
      <c r="G2653" s="14">
        <f t="shared" si="48"/>
        <v>90816</v>
      </c>
      <c r="H2653" s="1221" t="s">
        <v>9314</v>
      </c>
    </row>
    <row r="2654" spans="1:8" x14ac:dyDescent="0.25">
      <c r="A2654" s="112">
        <v>44967</v>
      </c>
      <c r="B2654" s="21" t="s">
        <v>8034</v>
      </c>
      <c r="C2654" s="13" t="s">
        <v>5186</v>
      </c>
      <c r="D2654" s="1217"/>
      <c r="E2654" s="22">
        <f>5032+5596</f>
        <v>10628</v>
      </c>
      <c r="F2654" s="19"/>
      <c r="G2654" s="14">
        <f t="shared" si="48"/>
        <v>10628</v>
      </c>
      <c r="H2654" s="122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6" t="s">
        <v>9338</v>
      </c>
      <c r="E2656" s="22">
        <f>15552+18000</f>
        <v>33552</v>
      </c>
      <c r="F2656" s="19"/>
      <c r="G2656" s="14">
        <f t="shared" si="48"/>
        <v>33552</v>
      </c>
      <c r="H2656" s="1221" t="s">
        <v>9314</v>
      </c>
    </row>
    <row r="2657" spans="1:8" x14ac:dyDescent="0.25">
      <c r="A2657" s="112">
        <v>44967</v>
      </c>
      <c r="B2657" s="21" t="s">
        <v>8329</v>
      </c>
      <c r="C2657" s="13" t="s">
        <v>5186</v>
      </c>
      <c r="D2657" s="1217"/>
      <c r="E2657" s="22">
        <v>28080</v>
      </c>
      <c r="F2657" s="19"/>
      <c r="G2657" s="14">
        <f t="shared" si="48"/>
        <v>28080</v>
      </c>
      <c r="H2657" s="122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53" t="s">
        <v>9339</v>
      </c>
    </row>
    <row r="2675" spans="1:8" x14ac:dyDescent="0.25">
      <c r="A2675" s="112">
        <v>44973</v>
      </c>
      <c r="B2675" s="21" t="s">
        <v>8068</v>
      </c>
      <c r="C2675" s="13" t="s">
        <v>5186</v>
      </c>
      <c r="D2675" s="764"/>
      <c r="E2675" s="22"/>
      <c r="F2675" s="19">
        <v>63132</v>
      </c>
      <c r="G2675" s="14">
        <f t="shared" si="48"/>
        <v>-63132</v>
      </c>
      <c r="H2675" s="1254"/>
    </row>
    <row r="2676" spans="1:8" x14ac:dyDescent="0.25">
      <c r="A2676" s="112">
        <v>44973</v>
      </c>
      <c r="B2676" s="21" t="s">
        <v>8329</v>
      </c>
      <c r="C2676" s="13" t="s">
        <v>5186</v>
      </c>
      <c r="D2676" s="764"/>
      <c r="E2676" s="22"/>
      <c r="F2676" s="19">
        <v>98924</v>
      </c>
      <c r="G2676" s="14">
        <f t="shared" si="48"/>
        <v>-98924</v>
      </c>
      <c r="H2676" s="125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7" t="s">
        <v>9446</v>
      </c>
    </row>
    <row r="2692" spans="1:8" x14ac:dyDescent="0.25">
      <c r="A2692" s="112">
        <v>45001</v>
      </c>
      <c r="B2692" s="21" t="s">
        <v>8521</v>
      </c>
      <c r="C2692" s="13" t="s">
        <v>166</v>
      </c>
      <c r="D2692" s="764"/>
      <c r="E2692" s="22"/>
      <c r="F2692" s="19">
        <v>15069</v>
      </c>
      <c r="G2692" s="14">
        <f t="shared" si="48"/>
        <v>-15069</v>
      </c>
      <c r="H2692" s="1228"/>
    </row>
    <row r="2693" spans="1:8" x14ac:dyDescent="0.25">
      <c r="A2693" s="112">
        <v>45001</v>
      </c>
      <c r="B2693" s="21" t="s">
        <v>8645</v>
      </c>
      <c r="C2693" s="13" t="s">
        <v>166</v>
      </c>
      <c r="D2693" s="764"/>
      <c r="E2693" s="22"/>
      <c r="F2693" s="19">
        <v>848690</v>
      </c>
      <c r="G2693" s="14">
        <f t="shared" si="48"/>
        <v>-848690</v>
      </c>
      <c r="H2693" s="1228"/>
    </row>
    <row r="2694" spans="1:8" x14ac:dyDescent="0.25">
      <c r="A2694" s="112">
        <v>45001</v>
      </c>
      <c r="B2694" s="21" t="s">
        <v>8856</v>
      </c>
      <c r="C2694" s="13" t="s">
        <v>166</v>
      </c>
      <c r="D2694" s="764"/>
      <c r="E2694" s="22"/>
      <c r="F2694" s="19">
        <v>78000</v>
      </c>
      <c r="G2694" s="14">
        <f t="shared" si="48"/>
        <v>-78000</v>
      </c>
      <c r="H2694" s="1228"/>
    </row>
    <row r="2695" spans="1:8" x14ac:dyDescent="0.25">
      <c r="A2695" s="112">
        <v>45001</v>
      </c>
      <c r="B2695" s="21" t="s">
        <v>8864</v>
      </c>
      <c r="C2695" s="13" t="s">
        <v>166</v>
      </c>
      <c r="D2695" s="764"/>
      <c r="E2695" s="22"/>
      <c r="F2695" s="19">
        <v>115000</v>
      </c>
      <c r="G2695" s="14">
        <f t="shared" si="48"/>
        <v>-115000</v>
      </c>
      <c r="H2695" s="122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3" t="s">
        <v>9467</v>
      </c>
    </row>
    <row r="2699" spans="1:8" x14ac:dyDescent="0.25">
      <c r="A2699" s="112">
        <v>45002</v>
      </c>
      <c r="B2699" s="21" t="s">
        <v>8856</v>
      </c>
      <c r="C2699" s="13" t="s">
        <v>180</v>
      </c>
      <c r="D2699" s="764"/>
      <c r="E2699" s="22"/>
      <c r="F2699" s="19">
        <v>164160</v>
      </c>
      <c r="G2699" s="14">
        <f t="shared" si="48"/>
        <v>-164160</v>
      </c>
      <c r="H2699" s="122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3" t="s">
        <v>8995</v>
      </c>
    </row>
    <row r="2704" spans="1:8" x14ac:dyDescent="0.25">
      <c r="A2704" s="112">
        <v>45005</v>
      </c>
      <c r="B2704" s="21" t="s">
        <v>8645</v>
      </c>
      <c r="C2704" s="13" t="s">
        <v>8384</v>
      </c>
      <c r="D2704" s="764"/>
      <c r="E2704" s="22"/>
      <c r="F2704" s="19">
        <v>371446</v>
      </c>
      <c r="G2704" s="14">
        <f t="shared" si="53"/>
        <v>-371446</v>
      </c>
      <c r="H2704" s="122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47" t="s">
        <v>9271</v>
      </c>
      <c r="E2716" s="22">
        <v>28496</v>
      </c>
      <c r="F2716" s="19"/>
      <c r="G2716" s="14">
        <f t="shared" si="53"/>
        <v>28496</v>
      </c>
      <c r="H2716" s="1221" t="s">
        <v>9314</v>
      </c>
    </row>
    <row r="2717" spans="1:8" x14ac:dyDescent="0.25">
      <c r="A2717" s="112">
        <v>45019</v>
      </c>
      <c r="B2717" s="21" t="s">
        <v>3945</v>
      </c>
      <c r="C2717" s="13" t="s">
        <v>8384</v>
      </c>
      <c r="D2717" s="1248"/>
      <c r="E2717" s="22">
        <v>8745</v>
      </c>
      <c r="F2717" s="19"/>
      <c r="G2717" s="14">
        <f t="shared" si="53"/>
        <v>8745</v>
      </c>
      <c r="H2717" s="122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6" t="s">
        <v>9590</v>
      </c>
      <c r="E2721" s="22">
        <v>20000</v>
      </c>
      <c r="F2721" s="19"/>
      <c r="G2721" s="14">
        <f t="shared" si="53"/>
        <v>20000</v>
      </c>
      <c r="H2721" s="1221" t="s">
        <v>9314</v>
      </c>
    </row>
    <row r="2722" spans="1:8" x14ac:dyDescent="0.25">
      <c r="A2722" s="112">
        <v>45024</v>
      </c>
      <c r="B2722" s="21" t="s">
        <v>8034</v>
      </c>
      <c r="C2722" s="13" t="s">
        <v>5186</v>
      </c>
      <c r="D2722" s="1217"/>
      <c r="E2722" s="22">
        <v>15000</v>
      </c>
      <c r="F2722" s="19"/>
      <c r="G2722" s="14">
        <f t="shared" si="53"/>
        <v>15000</v>
      </c>
      <c r="H2722" s="122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6" t="s">
        <v>12241</v>
      </c>
    </row>
    <row r="2726" spans="1:8" x14ac:dyDescent="0.25">
      <c r="A2726" s="112">
        <v>45026</v>
      </c>
      <c r="B2726" s="21" t="s">
        <v>8329</v>
      </c>
      <c r="C2726" s="13" t="s">
        <v>5186</v>
      </c>
      <c r="D2726" s="764"/>
      <c r="E2726" s="22"/>
      <c r="F2726" s="19">
        <v>20624</v>
      </c>
      <c r="G2726" s="14">
        <f t="shared" si="53"/>
        <v>-20624</v>
      </c>
      <c r="H2726" s="1237"/>
    </row>
    <row r="2727" spans="1:8" x14ac:dyDescent="0.25">
      <c r="A2727" s="112">
        <v>45026</v>
      </c>
      <c r="B2727" s="21" t="s">
        <v>8864</v>
      </c>
      <c r="C2727" s="13" t="s">
        <v>5186</v>
      </c>
      <c r="D2727" s="764"/>
      <c r="E2727" s="22"/>
      <c r="F2727" s="19">
        <v>34826</v>
      </c>
      <c r="G2727" s="14">
        <f t="shared" si="53"/>
        <v>-34826</v>
      </c>
      <c r="H2727" s="123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10" t="s">
        <v>9644</v>
      </c>
    </row>
    <row r="2732" spans="1:8" ht="15.75" customHeight="1" x14ac:dyDescent="0.25">
      <c r="A2732" s="112">
        <v>45029</v>
      </c>
      <c r="B2732" s="21" t="s">
        <v>7655</v>
      </c>
      <c r="C2732" s="13" t="s">
        <v>5680</v>
      </c>
      <c r="D2732" s="764"/>
      <c r="E2732" s="781"/>
      <c r="F2732" s="141">
        <v>40900</v>
      </c>
      <c r="G2732" s="782">
        <f t="shared" si="53"/>
        <v>-40900</v>
      </c>
      <c r="H2732" s="1211"/>
    </row>
    <row r="2733" spans="1:8" ht="15.75" customHeight="1" x14ac:dyDescent="0.25">
      <c r="A2733" s="112">
        <v>45029</v>
      </c>
      <c r="B2733" s="21" t="s">
        <v>7553</v>
      </c>
      <c r="C2733" s="13" t="s">
        <v>5680</v>
      </c>
      <c r="D2733" s="764"/>
      <c r="E2733" s="781"/>
      <c r="F2733" s="141">
        <v>5400</v>
      </c>
      <c r="G2733" s="782">
        <f t="shared" si="53"/>
        <v>-5400</v>
      </c>
      <c r="H2733" s="1211"/>
    </row>
    <row r="2734" spans="1:8" ht="16.5" thickBot="1" x14ac:dyDescent="0.3">
      <c r="A2734" s="112">
        <v>45029</v>
      </c>
      <c r="B2734" s="21" t="s">
        <v>8645</v>
      </c>
      <c r="C2734" s="13" t="s">
        <v>5680</v>
      </c>
      <c r="D2734" s="764"/>
      <c r="E2734" s="781"/>
      <c r="F2734" s="784">
        <v>40520</v>
      </c>
      <c r="G2734" s="782">
        <f t="shared" si="53"/>
        <v>-40520</v>
      </c>
      <c r="H2734" s="121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10" t="s">
        <v>9644</v>
      </c>
    </row>
    <row r="2737" spans="1:8" x14ac:dyDescent="0.25">
      <c r="A2737" s="112">
        <v>45031</v>
      </c>
      <c r="B2737" s="21" t="s">
        <v>8864</v>
      </c>
      <c r="C2737" s="13" t="s">
        <v>169</v>
      </c>
      <c r="D2737" s="764"/>
      <c r="E2737" s="781"/>
      <c r="F2737" s="141">
        <v>18365</v>
      </c>
      <c r="G2737" s="782">
        <f t="shared" si="53"/>
        <v>-18365</v>
      </c>
      <c r="H2737" s="1211"/>
    </row>
    <row r="2738" spans="1:8" x14ac:dyDescent="0.25">
      <c r="A2738" s="112">
        <v>45031</v>
      </c>
      <c r="B2738" s="21" t="s">
        <v>9397</v>
      </c>
      <c r="C2738" s="13" t="s">
        <v>169</v>
      </c>
      <c r="D2738" s="764"/>
      <c r="E2738" s="781"/>
      <c r="F2738" s="141">
        <v>20500</v>
      </c>
      <c r="G2738" s="782">
        <f t="shared" si="53"/>
        <v>-20500</v>
      </c>
      <c r="H2738" s="1211"/>
    </row>
    <row r="2739" spans="1:8" ht="16.5" thickBot="1" x14ac:dyDescent="0.3">
      <c r="A2739" s="112">
        <v>45031</v>
      </c>
      <c r="B2739" s="21" t="s">
        <v>9397</v>
      </c>
      <c r="C2739" s="13" t="s">
        <v>169</v>
      </c>
      <c r="D2739" s="764"/>
      <c r="E2739" s="781"/>
      <c r="F2739" s="784">
        <v>4135</v>
      </c>
      <c r="G2739" s="782">
        <f t="shared" si="53"/>
        <v>-4135</v>
      </c>
      <c r="H2739" s="121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39" t="s">
        <v>9714</v>
      </c>
    </row>
    <row r="2744" spans="1:8" x14ac:dyDescent="0.25">
      <c r="A2744" s="112">
        <v>45035</v>
      </c>
      <c r="B2744" s="21" t="s">
        <v>8645</v>
      </c>
      <c r="C2744" s="13" t="s">
        <v>8384</v>
      </c>
      <c r="D2744" s="764"/>
      <c r="E2744" s="781"/>
      <c r="F2744" s="141">
        <v>51861</v>
      </c>
      <c r="G2744" s="14">
        <f t="shared" si="54"/>
        <v>-51861</v>
      </c>
      <c r="H2744" s="1240"/>
    </row>
    <row r="2745" spans="1:8" x14ac:dyDescent="0.25">
      <c r="A2745" s="112">
        <v>45035</v>
      </c>
      <c r="B2745" s="21" t="s">
        <v>8864</v>
      </c>
      <c r="C2745" s="13" t="s">
        <v>8384</v>
      </c>
      <c r="D2745" s="764"/>
      <c r="E2745" s="781"/>
      <c r="F2745" s="141">
        <v>17015</v>
      </c>
      <c r="G2745" s="14">
        <f t="shared" si="54"/>
        <v>-17015</v>
      </c>
      <c r="H2745" s="1240"/>
    </row>
    <row r="2746" spans="1:8" x14ac:dyDescent="0.25">
      <c r="A2746" s="112">
        <v>45035</v>
      </c>
      <c r="B2746" s="21" t="s">
        <v>9495</v>
      </c>
      <c r="C2746" s="13" t="s">
        <v>8384</v>
      </c>
      <c r="D2746" s="764"/>
      <c r="E2746" s="781"/>
      <c r="F2746" s="141">
        <v>28496</v>
      </c>
      <c r="G2746" s="14">
        <f t="shared" si="54"/>
        <v>-28496</v>
      </c>
      <c r="H2746" s="1240"/>
    </row>
    <row r="2747" spans="1:8" x14ac:dyDescent="0.25">
      <c r="A2747" s="112">
        <v>45035</v>
      </c>
      <c r="B2747" s="21" t="s">
        <v>9344</v>
      </c>
      <c r="C2747" s="13" t="s">
        <v>8384</v>
      </c>
      <c r="D2747" s="764"/>
      <c r="E2747" s="953"/>
      <c r="F2747" s="146">
        <v>93883</v>
      </c>
      <c r="G2747" s="14">
        <f t="shared" si="54"/>
        <v>-93883</v>
      </c>
      <c r="H2747" s="124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5" t="s">
        <v>9726</v>
      </c>
    </row>
    <row r="2752" spans="1:8" x14ac:dyDescent="0.25">
      <c r="A2752" s="112">
        <v>45043</v>
      </c>
      <c r="B2752" s="21" t="s">
        <v>8645</v>
      </c>
      <c r="C2752" s="13" t="s">
        <v>8384</v>
      </c>
      <c r="D2752" s="764"/>
      <c r="E2752" s="22"/>
      <c r="F2752" s="19">
        <v>447612</v>
      </c>
      <c r="G2752" s="14">
        <f t="shared" si="54"/>
        <v>-447612</v>
      </c>
      <c r="H2752" s="122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2" t="s">
        <v>9788</v>
      </c>
    </row>
    <row r="2759" spans="1:8" x14ac:dyDescent="0.25">
      <c r="A2759" s="112">
        <v>45049</v>
      </c>
      <c r="B2759" s="21" t="s">
        <v>9649</v>
      </c>
      <c r="C2759" s="13" t="s">
        <v>8384</v>
      </c>
      <c r="D2759" s="764"/>
      <c r="E2759" s="22"/>
      <c r="F2759" s="19">
        <f>730000-F2758</f>
        <v>235093</v>
      </c>
      <c r="G2759" s="14">
        <f t="shared" si="54"/>
        <v>-235093</v>
      </c>
      <c r="H2759" s="119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2" t="s">
        <v>9836</v>
      </c>
    </row>
    <row r="2769" spans="1:8" ht="16.5" thickBot="1" x14ac:dyDescent="0.3">
      <c r="A2769" s="112">
        <v>45056</v>
      </c>
      <c r="B2769" s="21" t="s">
        <v>9344</v>
      </c>
      <c r="C2769" s="13" t="s">
        <v>169</v>
      </c>
      <c r="D2769" s="764"/>
      <c r="E2769" s="781"/>
      <c r="F2769" s="784">
        <v>124699</v>
      </c>
      <c r="G2769" s="782">
        <f t="shared" si="54"/>
        <v>-124699</v>
      </c>
      <c r="H2769" s="1194"/>
    </row>
    <row r="2770" spans="1:8" x14ac:dyDescent="0.25">
      <c r="A2770" s="112">
        <v>45056</v>
      </c>
      <c r="B2770" s="21" t="s">
        <v>8864</v>
      </c>
      <c r="C2770" s="13" t="s">
        <v>180</v>
      </c>
      <c r="D2770" s="764"/>
      <c r="E2770" s="781"/>
      <c r="F2770" s="783">
        <v>380920</v>
      </c>
      <c r="G2770" s="782">
        <f t="shared" si="54"/>
        <v>-380920</v>
      </c>
      <c r="H2770" s="1192" t="s">
        <v>9837</v>
      </c>
    </row>
    <row r="2771" spans="1:8" ht="16.5" thickBot="1" x14ac:dyDescent="0.3">
      <c r="A2771" s="112">
        <v>45056</v>
      </c>
      <c r="B2771" s="21" t="s">
        <v>9397</v>
      </c>
      <c r="C2771" s="13" t="s">
        <v>180</v>
      </c>
      <c r="D2771" s="764"/>
      <c r="E2771" s="781"/>
      <c r="F2771" s="784">
        <v>192080</v>
      </c>
      <c r="G2771" s="782">
        <f t="shared" si="54"/>
        <v>-192080</v>
      </c>
      <c r="H2771" s="119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2" t="s">
        <v>12240</v>
      </c>
    </row>
    <row r="2774" spans="1:8" x14ac:dyDescent="0.25">
      <c r="A2774" s="112">
        <v>45056</v>
      </c>
      <c r="B2774" s="21" t="s">
        <v>8864</v>
      </c>
      <c r="C2774" s="13" t="s">
        <v>5186</v>
      </c>
      <c r="D2774" s="764"/>
      <c r="E2774" s="22"/>
      <c r="F2774" s="111">
        <v>150000</v>
      </c>
      <c r="G2774" s="14">
        <f t="shared" si="54"/>
        <v>-150000</v>
      </c>
      <c r="H2774" s="1193"/>
    </row>
    <row r="2775" spans="1:8" x14ac:dyDescent="0.25">
      <c r="A2775" s="112">
        <v>45056</v>
      </c>
      <c r="B2775" s="21" t="s">
        <v>8864</v>
      </c>
      <c r="C2775" s="13" t="s">
        <v>5186</v>
      </c>
      <c r="D2775" s="764"/>
      <c r="E2775" s="22"/>
      <c r="F2775" s="111">
        <v>35000</v>
      </c>
      <c r="G2775" s="14">
        <f t="shared" si="54"/>
        <v>-35000</v>
      </c>
      <c r="H2775" s="1193"/>
    </row>
    <row r="2776" spans="1:8" x14ac:dyDescent="0.25">
      <c r="A2776" s="112">
        <v>45056</v>
      </c>
      <c r="B2776" s="21" t="s">
        <v>8864</v>
      </c>
      <c r="C2776" s="13" t="s">
        <v>5186</v>
      </c>
      <c r="D2776" s="764"/>
      <c r="E2776" s="22"/>
      <c r="F2776" s="111">
        <v>5000</v>
      </c>
      <c r="G2776" s="14">
        <f t="shared" si="54"/>
        <v>-5000</v>
      </c>
      <c r="H2776" s="119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7" t="s">
        <v>10305</v>
      </c>
    </row>
    <row r="2816" spans="1:8" x14ac:dyDescent="0.25">
      <c r="A2816" s="112">
        <v>45076</v>
      </c>
      <c r="B2816" s="21" t="s">
        <v>8034</v>
      </c>
      <c r="C2816" s="13" t="s">
        <v>7240</v>
      </c>
      <c r="D2816" s="764"/>
      <c r="E2816" s="22"/>
      <c r="F2816" s="19">
        <v>141655</v>
      </c>
      <c r="G2816" s="14">
        <f t="shared" si="54"/>
        <v>-141655</v>
      </c>
      <c r="H2816" s="1228"/>
    </row>
    <row r="2817" spans="1:8" x14ac:dyDescent="0.25">
      <c r="A2817" s="112">
        <v>45076</v>
      </c>
      <c r="B2817" s="21" t="s">
        <v>8329</v>
      </c>
      <c r="C2817" s="13" t="s">
        <v>7240</v>
      </c>
      <c r="D2817" s="764"/>
      <c r="E2817" s="22"/>
      <c r="F2817" s="19">
        <v>27798</v>
      </c>
      <c r="G2817" s="14">
        <f t="shared" si="54"/>
        <v>-27798</v>
      </c>
      <c r="H2817" s="1228"/>
    </row>
    <row r="2818" spans="1:8" x14ac:dyDescent="0.25">
      <c r="A2818" s="112">
        <v>45076</v>
      </c>
      <c r="B2818" s="21" t="s">
        <v>8547</v>
      </c>
      <c r="C2818" s="13" t="s">
        <v>7240</v>
      </c>
      <c r="D2818" s="764"/>
      <c r="E2818" s="22"/>
      <c r="F2818" s="19">
        <v>65342</v>
      </c>
      <c r="G2818" s="14">
        <f t="shared" si="54"/>
        <v>-65342</v>
      </c>
      <c r="H2818" s="1228"/>
    </row>
    <row r="2819" spans="1:8" x14ac:dyDescent="0.25">
      <c r="A2819" s="112">
        <v>45076</v>
      </c>
      <c r="B2819" s="21" t="s">
        <v>8645</v>
      </c>
      <c r="C2819" s="13" t="s">
        <v>7240</v>
      </c>
      <c r="D2819" s="764"/>
      <c r="E2819" s="22"/>
      <c r="F2819" s="19">
        <v>188071</v>
      </c>
      <c r="G2819" s="14">
        <f t="shared" si="54"/>
        <v>-188071</v>
      </c>
      <c r="H2819" s="1228"/>
    </row>
    <row r="2820" spans="1:8" x14ac:dyDescent="0.25">
      <c r="A2820" s="112">
        <v>45076</v>
      </c>
      <c r="B2820" s="21" t="s">
        <v>8856</v>
      </c>
      <c r="C2820" s="13" t="s">
        <v>7240</v>
      </c>
      <c r="D2820" s="764"/>
      <c r="E2820" s="22"/>
      <c r="F2820" s="19">
        <v>3983</v>
      </c>
      <c r="G2820" s="14">
        <f t="shared" si="54"/>
        <v>-3983</v>
      </c>
      <c r="H2820" s="1228"/>
    </row>
    <row r="2821" spans="1:8" x14ac:dyDescent="0.25">
      <c r="A2821" s="112">
        <v>45076</v>
      </c>
      <c r="B2821" s="21" t="s">
        <v>8864</v>
      </c>
      <c r="C2821" s="13" t="s">
        <v>7240</v>
      </c>
      <c r="D2821" s="764"/>
      <c r="E2821" s="22"/>
      <c r="F2821" s="19">
        <v>48076</v>
      </c>
      <c r="G2821" s="14">
        <f t="shared" si="54"/>
        <v>-48076</v>
      </c>
      <c r="H2821" s="1228"/>
    </row>
    <row r="2822" spans="1:8" x14ac:dyDescent="0.25">
      <c r="A2822" s="112">
        <v>45076</v>
      </c>
      <c r="B2822" s="21" t="s">
        <v>9397</v>
      </c>
      <c r="C2822" s="13" t="s">
        <v>7240</v>
      </c>
      <c r="D2822" s="764"/>
      <c r="E2822" s="22"/>
      <c r="F2822" s="19">
        <v>48076</v>
      </c>
      <c r="G2822" s="14">
        <f t="shared" si="54"/>
        <v>-48076</v>
      </c>
      <c r="H2822" s="122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5" t="s">
        <v>10115</v>
      </c>
    </row>
    <row r="2866" spans="1:8" x14ac:dyDescent="0.25">
      <c r="A2866" s="112">
        <v>45086</v>
      </c>
      <c r="B2866" s="21" t="s">
        <v>8034</v>
      </c>
      <c r="C2866" s="13" t="s">
        <v>7465</v>
      </c>
      <c r="D2866" s="764"/>
      <c r="E2866" s="781"/>
      <c r="F2866" s="141">
        <v>176124</v>
      </c>
      <c r="G2866" s="782">
        <f t="shared" ref="G2866:G2933" si="57">E2866-F2866</f>
        <v>-176124</v>
      </c>
      <c r="H2866" s="1196"/>
    </row>
    <row r="2867" spans="1:8" x14ac:dyDescent="0.25">
      <c r="A2867" s="112">
        <v>45086</v>
      </c>
      <c r="B2867" s="21" t="s">
        <v>8329</v>
      </c>
      <c r="C2867" s="13" t="s">
        <v>7465</v>
      </c>
      <c r="D2867" s="764"/>
      <c r="E2867" s="781"/>
      <c r="F2867" s="141">
        <v>265939</v>
      </c>
      <c r="G2867" s="782">
        <f t="shared" si="57"/>
        <v>-265939</v>
      </c>
      <c r="H2867" s="1196"/>
    </row>
    <row r="2868" spans="1:8" x14ac:dyDescent="0.25">
      <c r="A2868" s="112">
        <v>45086</v>
      </c>
      <c r="B2868" s="21" t="s">
        <v>8547</v>
      </c>
      <c r="C2868" s="13" t="s">
        <v>7465</v>
      </c>
      <c r="D2868" s="764"/>
      <c r="E2868" s="781"/>
      <c r="F2868" s="141">
        <v>245863</v>
      </c>
      <c r="G2868" s="782">
        <f t="shared" si="57"/>
        <v>-245863</v>
      </c>
      <c r="H2868" s="1196"/>
    </row>
    <row r="2869" spans="1:8" ht="16.5" thickBot="1" x14ac:dyDescent="0.3">
      <c r="A2869" s="112">
        <v>45086</v>
      </c>
      <c r="B2869" s="21" t="s">
        <v>8864</v>
      </c>
      <c r="C2869" s="13" t="s">
        <v>7465</v>
      </c>
      <c r="D2869" s="764"/>
      <c r="E2869" s="781"/>
      <c r="F2869" s="784">
        <v>201031</v>
      </c>
      <c r="G2869" s="782">
        <f t="shared" si="57"/>
        <v>-201031</v>
      </c>
      <c r="H2869" s="1197"/>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07" t="s">
        <v>10115</v>
      </c>
    </row>
    <row r="2873" spans="1:8" x14ac:dyDescent="0.25">
      <c r="A2873" s="112">
        <v>45089</v>
      </c>
      <c r="B2873" s="21" t="s">
        <v>9649</v>
      </c>
      <c r="C2873" s="13" t="s">
        <v>8384</v>
      </c>
      <c r="D2873" s="764"/>
      <c r="E2873" s="22"/>
      <c r="F2873" s="19">
        <v>100000</v>
      </c>
      <c r="G2873" s="14">
        <f t="shared" si="57"/>
        <v>-100000</v>
      </c>
      <c r="H2873" s="1208"/>
    </row>
    <row r="2874" spans="1:8" x14ac:dyDescent="0.25">
      <c r="A2874" s="112">
        <v>45089</v>
      </c>
      <c r="B2874" s="21" t="s">
        <v>8645</v>
      </c>
      <c r="C2874" s="13" t="s">
        <v>8384</v>
      </c>
      <c r="D2874" s="764"/>
      <c r="E2874" s="22"/>
      <c r="F2874" s="19">
        <v>350000</v>
      </c>
      <c r="G2874" s="14">
        <f t="shared" si="57"/>
        <v>-350000</v>
      </c>
      <c r="H2874" s="120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6" t="s">
        <v>10221</v>
      </c>
    </row>
    <row r="2885" spans="1:8" x14ac:dyDescent="0.25">
      <c r="A2885" s="112">
        <v>45094</v>
      </c>
      <c r="B2885" s="21" t="s">
        <v>9757</v>
      </c>
      <c r="C2885" s="13" t="s">
        <v>180</v>
      </c>
      <c r="D2885" s="764"/>
      <c r="E2885" s="781"/>
      <c r="F2885" s="141">
        <v>49080</v>
      </c>
      <c r="G2885" s="782">
        <f t="shared" si="57"/>
        <v>-49080</v>
      </c>
      <c r="H2885" s="1187"/>
    </row>
    <row r="2886" spans="1:8" x14ac:dyDescent="0.25">
      <c r="A2886" s="112">
        <v>45094</v>
      </c>
      <c r="B2886" s="21" t="s">
        <v>10284</v>
      </c>
      <c r="C2886" s="13" t="s">
        <v>180</v>
      </c>
      <c r="D2886" s="764"/>
      <c r="E2886" s="781"/>
      <c r="F2886" s="146">
        <v>151960</v>
      </c>
      <c r="G2886" s="782">
        <f t="shared" si="57"/>
        <v>-151960</v>
      </c>
      <c r="H2886" s="1187"/>
    </row>
    <row r="2887" spans="1:8" ht="16.5" thickBot="1" x14ac:dyDescent="0.3">
      <c r="A2887" s="112">
        <v>45094</v>
      </c>
      <c r="B2887" s="21" t="s">
        <v>10220</v>
      </c>
      <c r="C2887" s="13" t="s">
        <v>180</v>
      </c>
      <c r="D2887" s="764"/>
      <c r="E2887" s="781"/>
      <c r="F2887" s="784">
        <f>875000-F2886-F2885-F2884</f>
        <v>3960</v>
      </c>
      <c r="G2887" s="782">
        <f t="shared" si="57"/>
        <v>-3960</v>
      </c>
      <c r="H2887" s="118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6" t="s">
        <v>10244</v>
      </c>
    </row>
    <row r="2900" spans="1:8" x14ac:dyDescent="0.25">
      <c r="A2900" s="112">
        <v>45096</v>
      </c>
      <c r="B2900" s="21" t="s">
        <v>9955</v>
      </c>
      <c r="C2900" s="13" t="s">
        <v>169</v>
      </c>
      <c r="D2900" s="764"/>
      <c r="E2900" s="781"/>
      <c r="F2900" s="151">
        <v>23382</v>
      </c>
      <c r="G2900" s="782">
        <f t="shared" si="57"/>
        <v>-23382</v>
      </c>
      <c r="H2900" s="1187"/>
    </row>
    <row r="2901" spans="1:8" ht="16.5" thickBot="1" x14ac:dyDescent="0.3">
      <c r="A2901" s="112">
        <v>45096</v>
      </c>
      <c r="B2901" s="21" t="s">
        <v>9974</v>
      </c>
      <c r="C2901" s="13" t="s">
        <v>169</v>
      </c>
      <c r="D2901" s="764"/>
      <c r="E2901" s="781"/>
      <c r="F2901" s="295">
        <v>102854</v>
      </c>
      <c r="G2901" s="782">
        <f t="shared" si="57"/>
        <v>-102854</v>
      </c>
      <c r="H2901" s="118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2" t="s">
        <v>10223</v>
      </c>
    </row>
    <row r="2905" spans="1:8" x14ac:dyDescent="0.25">
      <c r="A2905" s="112">
        <v>45096</v>
      </c>
      <c r="B2905" s="21" t="s">
        <v>6503</v>
      </c>
      <c r="C2905" s="13" t="s">
        <v>164</v>
      </c>
      <c r="D2905" s="764"/>
      <c r="E2905" s="22"/>
      <c r="F2905" s="19">
        <v>1320</v>
      </c>
      <c r="G2905" s="14">
        <f t="shared" si="57"/>
        <v>-1320</v>
      </c>
      <c r="H2905" s="1193"/>
    </row>
    <row r="2906" spans="1:8" x14ac:dyDescent="0.25">
      <c r="A2906" s="112">
        <v>45096</v>
      </c>
      <c r="B2906" s="21" t="s">
        <v>8856</v>
      </c>
      <c r="C2906" s="13" t="s">
        <v>164</v>
      </c>
      <c r="D2906" s="764"/>
      <c r="E2906" s="22"/>
      <c r="F2906" s="19">
        <v>2773</v>
      </c>
      <c r="G2906" s="14">
        <f t="shared" si="57"/>
        <v>-2773</v>
      </c>
      <c r="H2906" s="1193"/>
    </row>
    <row r="2907" spans="1:8" x14ac:dyDescent="0.25">
      <c r="A2907" s="112">
        <v>45096</v>
      </c>
      <c r="B2907" s="21" t="s">
        <v>9344</v>
      </c>
      <c r="C2907" s="13" t="s">
        <v>164</v>
      </c>
      <c r="D2907" s="764"/>
      <c r="E2907" s="22"/>
      <c r="F2907" s="19">
        <v>12911</v>
      </c>
      <c r="G2907" s="14">
        <f t="shared" si="57"/>
        <v>-12911</v>
      </c>
      <c r="H2907" s="1193"/>
    </row>
    <row r="2908" spans="1:8" x14ac:dyDescent="0.25">
      <c r="A2908" s="112">
        <v>45096</v>
      </c>
      <c r="B2908" s="21" t="s">
        <v>9495</v>
      </c>
      <c r="C2908" s="13" t="s">
        <v>164</v>
      </c>
      <c r="D2908" s="764"/>
      <c r="E2908" s="22"/>
      <c r="F2908" s="19">
        <v>3303</v>
      </c>
      <c r="G2908" s="14">
        <f t="shared" si="57"/>
        <v>-3303</v>
      </c>
      <c r="H2908" s="1193"/>
    </row>
    <row r="2909" spans="1:8" x14ac:dyDescent="0.25">
      <c r="A2909" s="112">
        <v>45096</v>
      </c>
      <c r="B2909" s="21" t="s">
        <v>10892</v>
      </c>
      <c r="C2909" s="13" t="s">
        <v>164</v>
      </c>
      <c r="D2909" s="764"/>
      <c r="E2909" s="22"/>
      <c r="F2909" s="19">
        <v>64935</v>
      </c>
      <c r="G2909" s="14">
        <f t="shared" si="57"/>
        <v>-64935</v>
      </c>
      <c r="H2909" s="1193"/>
    </row>
    <row r="2910" spans="1:8" x14ac:dyDescent="0.25">
      <c r="A2910" s="112">
        <v>45096</v>
      </c>
      <c r="B2910" s="21" t="s">
        <v>9955</v>
      </c>
      <c r="C2910" s="13" t="s">
        <v>164</v>
      </c>
      <c r="D2910" s="764"/>
      <c r="E2910" s="22"/>
      <c r="F2910" s="19">
        <v>5073</v>
      </c>
      <c r="G2910" s="14">
        <f t="shared" si="57"/>
        <v>-5073</v>
      </c>
      <c r="H2910" s="1193"/>
    </row>
    <row r="2911" spans="1:8" x14ac:dyDescent="0.25">
      <c r="A2911" s="112">
        <v>45096</v>
      </c>
      <c r="B2911" s="21" t="s">
        <v>9974</v>
      </c>
      <c r="C2911" s="13" t="s">
        <v>164</v>
      </c>
      <c r="D2911" s="764"/>
      <c r="E2911" s="22"/>
      <c r="F2911" s="109">
        <f>100000-F2910-F2909-3485-F2907-F2906-F2905-F2904</f>
        <v>2239</v>
      </c>
      <c r="G2911" s="14">
        <f t="shared" si="57"/>
        <v>-2239</v>
      </c>
      <c r="H2911" s="119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2" t="s">
        <v>10115</v>
      </c>
    </row>
    <row r="2916" spans="1:8" x14ac:dyDescent="0.25">
      <c r="A2916" s="112">
        <v>45099</v>
      </c>
      <c r="B2916" s="21" t="s">
        <v>9757</v>
      </c>
      <c r="C2916" s="13" t="s">
        <v>8384</v>
      </c>
      <c r="D2916" s="764"/>
      <c r="E2916" s="781"/>
      <c r="F2916" s="213">
        <v>500000</v>
      </c>
      <c r="G2916" s="782">
        <f t="shared" si="57"/>
        <v>-500000</v>
      </c>
      <c r="H2916" s="120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7" t="s">
        <v>10386</v>
      </c>
    </row>
    <row r="2922" spans="1:8" ht="15.75" customHeight="1" x14ac:dyDescent="0.25">
      <c r="A2922" s="112">
        <v>45104</v>
      </c>
      <c r="B2922" s="21" t="s">
        <v>9397</v>
      </c>
      <c r="C2922" s="13" t="s">
        <v>7240</v>
      </c>
      <c r="D2922" s="764"/>
      <c r="E2922" s="22"/>
      <c r="F2922" s="19">
        <v>116894</v>
      </c>
      <c r="G2922" s="14">
        <f t="shared" si="57"/>
        <v>-116894</v>
      </c>
      <c r="H2922" s="1228"/>
    </row>
    <row r="2923" spans="1:8" x14ac:dyDescent="0.25">
      <c r="A2923" s="112">
        <v>45104</v>
      </c>
      <c r="B2923" s="21"/>
      <c r="C2923" s="13" t="s">
        <v>7240</v>
      </c>
      <c r="D2923" s="764"/>
      <c r="E2923" s="22"/>
      <c r="F2923" s="19">
        <v>13918</v>
      </c>
      <c r="G2923" s="14">
        <f t="shared" si="57"/>
        <v>-13918</v>
      </c>
      <c r="H2923" s="122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3" t="s">
        <v>10313</v>
      </c>
    </row>
    <row r="2930" spans="1:8" x14ac:dyDescent="0.25">
      <c r="A2930" s="112">
        <v>45112</v>
      </c>
      <c r="B2930" s="21" t="s">
        <v>8856</v>
      </c>
      <c r="C2930" s="13" t="s">
        <v>8384</v>
      </c>
      <c r="D2930" s="764"/>
      <c r="E2930" s="22"/>
      <c r="F2930" s="19">
        <v>200000</v>
      </c>
      <c r="G2930" s="14">
        <f t="shared" si="57"/>
        <v>-200000</v>
      </c>
      <c r="H2930" s="1234"/>
    </row>
    <row r="2931" spans="1:8" x14ac:dyDescent="0.25">
      <c r="A2931" s="112">
        <v>45112</v>
      </c>
      <c r="B2931" s="21" t="s">
        <v>9344</v>
      </c>
      <c r="C2931" s="13" t="s">
        <v>8384</v>
      </c>
      <c r="D2931" s="764"/>
      <c r="E2931" s="22"/>
      <c r="F2931" s="19">
        <v>270000</v>
      </c>
      <c r="G2931" s="14">
        <f t="shared" si="57"/>
        <v>-270000</v>
      </c>
      <c r="H2931" s="1234"/>
    </row>
    <row r="2932" spans="1:8" x14ac:dyDescent="0.25">
      <c r="A2932" s="112">
        <v>45112</v>
      </c>
      <c r="B2932" s="21" t="s">
        <v>9649</v>
      </c>
      <c r="C2932" s="13" t="s">
        <v>8384</v>
      </c>
      <c r="D2932" s="764"/>
      <c r="E2932" s="22"/>
      <c r="F2932" s="19">
        <v>430000</v>
      </c>
      <c r="G2932" s="14">
        <f t="shared" si="57"/>
        <v>-430000</v>
      </c>
      <c r="H2932" s="1234"/>
    </row>
    <row r="2933" spans="1:8" x14ac:dyDescent="0.25">
      <c r="A2933" s="112">
        <v>45112</v>
      </c>
      <c r="B2933" s="21" t="s">
        <v>10139</v>
      </c>
      <c r="C2933" s="13" t="s">
        <v>8384</v>
      </c>
      <c r="D2933" s="764"/>
      <c r="E2933" s="22"/>
      <c r="F2933" s="19">
        <v>50000</v>
      </c>
      <c r="G2933" s="14">
        <f t="shared" si="57"/>
        <v>-50000</v>
      </c>
      <c r="H2933" s="123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2" t="s">
        <v>10461</v>
      </c>
      <c r="E2940" s="781">
        <v>130000</v>
      </c>
      <c r="F2940" s="19"/>
      <c r="G2940" s="14">
        <f t="shared" si="60"/>
        <v>130000</v>
      </c>
      <c r="H2940" s="342" t="s">
        <v>9267</v>
      </c>
    </row>
    <row r="2941" spans="1:8" x14ac:dyDescent="0.25">
      <c r="A2941" s="112">
        <v>45118</v>
      </c>
      <c r="B2941" s="21" t="s">
        <v>8856</v>
      </c>
      <c r="C2941" s="13" t="s">
        <v>166</v>
      </c>
      <c r="D2941" s="124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08" t="s">
        <v>10468</v>
      </c>
      <c r="J2951" s="127"/>
    </row>
    <row r="2952" spans="1:10" x14ac:dyDescent="0.25">
      <c r="A2952" s="112">
        <v>45124</v>
      </c>
      <c r="B2952" s="21" t="s">
        <v>9757</v>
      </c>
      <c r="C2952" s="13" t="s">
        <v>166</v>
      </c>
      <c r="D2952" s="764"/>
      <c r="E2952" s="22"/>
      <c r="F2952" s="19">
        <v>66000</v>
      </c>
      <c r="G2952" s="14">
        <f t="shared" si="60"/>
        <v>-66000</v>
      </c>
      <c r="H2952" s="1208"/>
    </row>
    <row r="2953" spans="1:10" x14ac:dyDescent="0.25">
      <c r="A2953" s="112">
        <v>45124</v>
      </c>
      <c r="B2953" s="21" t="s">
        <v>9955</v>
      </c>
      <c r="C2953" s="13" t="s">
        <v>166</v>
      </c>
      <c r="D2953" s="764"/>
      <c r="E2953" s="22"/>
      <c r="F2953" s="19">
        <v>15800</v>
      </c>
      <c r="G2953" s="14">
        <f t="shared" si="60"/>
        <v>-15800</v>
      </c>
      <c r="H2953" s="1208"/>
    </row>
    <row r="2954" spans="1:10" x14ac:dyDescent="0.25">
      <c r="A2954" s="112">
        <v>45124</v>
      </c>
      <c r="B2954" s="21" t="s">
        <v>10459</v>
      </c>
      <c r="C2954" s="13" t="s">
        <v>166</v>
      </c>
      <c r="D2954" s="764"/>
      <c r="E2954" s="22"/>
      <c r="F2954" s="19">
        <v>13260</v>
      </c>
      <c r="G2954" s="14">
        <f t="shared" si="60"/>
        <v>-13260</v>
      </c>
      <c r="H2954" s="1208"/>
    </row>
    <row r="2955" spans="1:10" x14ac:dyDescent="0.25">
      <c r="A2955" s="112">
        <v>45124</v>
      </c>
      <c r="B2955" s="21" t="s">
        <v>8645</v>
      </c>
      <c r="C2955" s="13" t="s">
        <v>166</v>
      </c>
      <c r="D2955" s="764"/>
      <c r="E2955" s="22"/>
      <c r="F2955" s="19">
        <v>290840</v>
      </c>
      <c r="G2955" s="14">
        <f t="shared" si="60"/>
        <v>-290840</v>
      </c>
      <c r="H2955" s="120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2" t="s">
        <v>10498</v>
      </c>
    </row>
    <row r="2965" spans="1:8" ht="16.5" thickBot="1" x14ac:dyDescent="0.3">
      <c r="A2965" s="112">
        <v>45125</v>
      </c>
      <c r="B2965" s="21" t="s">
        <v>10459</v>
      </c>
      <c r="C2965" s="13" t="s">
        <v>166</v>
      </c>
      <c r="D2965" s="764"/>
      <c r="E2965" s="781"/>
      <c r="F2965" s="784">
        <v>130000</v>
      </c>
      <c r="G2965" s="782">
        <f t="shared" si="60"/>
        <v>-130000</v>
      </c>
      <c r="H2965" s="119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0" t="s">
        <v>10539</v>
      </c>
    </row>
    <row r="2972" spans="1:8" x14ac:dyDescent="0.25">
      <c r="A2972" s="112">
        <v>45127</v>
      </c>
      <c r="B2972" s="21" t="s">
        <v>8856</v>
      </c>
      <c r="C2972" s="13" t="s">
        <v>8384</v>
      </c>
      <c r="D2972" s="764"/>
      <c r="E2972" s="781"/>
      <c r="F2972" s="141">
        <v>182717</v>
      </c>
      <c r="G2972" s="782">
        <f t="shared" si="60"/>
        <v>-182717</v>
      </c>
      <c r="H2972" s="1231"/>
    </row>
    <row r="2973" spans="1:8" x14ac:dyDescent="0.25">
      <c r="A2973" s="112">
        <v>45127</v>
      </c>
      <c r="B2973" s="21" t="s">
        <v>9344</v>
      </c>
      <c r="C2973" s="13" t="s">
        <v>8384</v>
      </c>
      <c r="D2973" s="764"/>
      <c r="E2973" s="781"/>
      <c r="F2973" s="141">
        <v>190000</v>
      </c>
      <c r="G2973" s="782">
        <f t="shared" si="60"/>
        <v>-190000</v>
      </c>
      <c r="H2973" s="1231"/>
    </row>
    <row r="2974" spans="1:8" x14ac:dyDescent="0.25">
      <c r="A2974" s="112">
        <v>45127</v>
      </c>
      <c r="B2974" s="21" t="s">
        <v>9649</v>
      </c>
      <c r="C2974" s="13" t="s">
        <v>8384</v>
      </c>
      <c r="D2974" s="764"/>
      <c r="E2974" s="781"/>
      <c r="F2974" s="141">
        <v>45196</v>
      </c>
      <c r="G2974" s="782">
        <f t="shared" si="60"/>
        <v>-45196</v>
      </c>
      <c r="H2974" s="1231"/>
    </row>
    <row r="2975" spans="1:8" x14ac:dyDescent="0.25">
      <c r="A2975" s="112">
        <v>45127</v>
      </c>
      <c r="B2975" s="21" t="s">
        <v>9757</v>
      </c>
      <c r="C2975" s="13" t="s">
        <v>8384</v>
      </c>
      <c r="D2975" s="764"/>
      <c r="E2975" s="781"/>
      <c r="F2975" s="141">
        <v>190000</v>
      </c>
      <c r="G2975" s="782">
        <f t="shared" si="60"/>
        <v>-190000</v>
      </c>
      <c r="H2975" s="1231"/>
    </row>
    <row r="2976" spans="1:8" x14ac:dyDescent="0.25">
      <c r="A2976" s="112">
        <v>45127</v>
      </c>
      <c r="B2976" s="21" t="s">
        <v>10139</v>
      </c>
      <c r="C2976" s="13" t="s">
        <v>8384</v>
      </c>
      <c r="D2976" s="764"/>
      <c r="E2976" s="781"/>
      <c r="F2976" s="141">
        <v>190000</v>
      </c>
      <c r="G2976" s="782">
        <f t="shared" si="60"/>
        <v>-190000</v>
      </c>
      <c r="H2976" s="1231"/>
    </row>
    <row r="2977" spans="1:8" ht="16.5" thickBot="1" x14ac:dyDescent="0.3">
      <c r="A2977" s="112">
        <v>45127</v>
      </c>
      <c r="B2977" s="21" t="s">
        <v>10284</v>
      </c>
      <c r="C2977" s="13" t="s">
        <v>8384</v>
      </c>
      <c r="D2977" s="764"/>
      <c r="E2977" s="781"/>
      <c r="F2977" s="784">
        <v>190000</v>
      </c>
      <c r="G2977" s="782">
        <f t="shared" si="60"/>
        <v>-190000</v>
      </c>
      <c r="H2977" s="123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5" t="s">
        <v>10740</v>
      </c>
    </row>
    <row r="3020" spans="1:8" x14ac:dyDescent="0.25">
      <c r="A3020" s="112">
        <v>45153</v>
      </c>
      <c r="B3020" s="21" t="s">
        <v>8864</v>
      </c>
      <c r="C3020" s="13" t="s">
        <v>7465</v>
      </c>
      <c r="D3020" s="764"/>
      <c r="E3020" s="22"/>
      <c r="F3020" s="19">
        <v>201658</v>
      </c>
      <c r="G3020" s="14">
        <f t="shared" si="60"/>
        <v>-201658</v>
      </c>
      <c r="H3020" s="1196"/>
    </row>
    <row r="3021" spans="1:8" x14ac:dyDescent="0.25">
      <c r="A3021" s="112">
        <v>45153</v>
      </c>
      <c r="B3021" s="21" t="s">
        <v>9649</v>
      </c>
      <c r="C3021" s="13" t="s">
        <v>7465</v>
      </c>
      <c r="D3021" s="764"/>
      <c r="E3021" s="22"/>
      <c r="F3021" s="19">
        <v>482460</v>
      </c>
      <c r="G3021" s="14">
        <f t="shared" si="60"/>
        <v>-482460</v>
      </c>
      <c r="H3021" s="1197"/>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3" t="s">
        <v>10836</v>
      </c>
    </row>
    <row r="3024" spans="1:8" x14ac:dyDescent="0.25">
      <c r="A3024" s="112">
        <v>45154</v>
      </c>
      <c r="B3024" s="21" t="s">
        <v>9344</v>
      </c>
      <c r="C3024" s="13" t="s">
        <v>8384</v>
      </c>
      <c r="D3024" s="764"/>
      <c r="E3024" s="781"/>
      <c r="F3024" s="141">
        <v>150000</v>
      </c>
      <c r="G3024" s="782">
        <f t="shared" ref="G3024:G3163" si="62">E3024-F3024</f>
        <v>-150000</v>
      </c>
      <c r="H3024" s="1214"/>
    </row>
    <row r="3025" spans="1:8" x14ac:dyDescent="0.25">
      <c r="A3025" s="112">
        <v>45154</v>
      </c>
      <c r="B3025" s="21" t="s">
        <v>9757</v>
      </c>
      <c r="C3025" s="13" t="s">
        <v>8384</v>
      </c>
      <c r="D3025" s="764"/>
      <c r="E3025" s="781"/>
      <c r="F3025" s="141">
        <v>372320</v>
      </c>
      <c r="G3025" s="782">
        <f t="shared" si="62"/>
        <v>-372320</v>
      </c>
      <c r="H3025" s="1214"/>
    </row>
    <row r="3026" spans="1:8" x14ac:dyDescent="0.25">
      <c r="A3026" s="112">
        <v>45154</v>
      </c>
      <c r="B3026" s="21" t="s">
        <v>10139</v>
      </c>
      <c r="C3026" s="13" t="s">
        <v>8384</v>
      </c>
      <c r="D3026" s="764"/>
      <c r="E3026" s="781"/>
      <c r="F3026" s="141">
        <v>300000</v>
      </c>
      <c r="G3026" s="782">
        <f t="shared" si="62"/>
        <v>-300000</v>
      </c>
      <c r="H3026" s="1214"/>
    </row>
    <row r="3027" spans="1:8" x14ac:dyDescent="0.25">
      <c r="A3027" s="112">
        <v>45154</v>
      </c>
      <c r="B3027" s="981" t="s">
        <v>10367</v>
      </c>
      <c r="C3027" s="13" t="s">
        <v>8384</v>
      </c>
      <c r="D3027" s="764"/>
      <c r="E3027" s="781"/>
      <c r="F3027" s="141">
        <v>100000</v>
      </c>
      <c r="G3027" s="782">
        <f t="shared" si="62"/>
        <v>-100000</v>
      </c>
      <c r="H3027" s="1214"/>
    </row>
    <row r="3028" spans="1:8" x14ac:dyDescent="0.25">
      <c r="A3028" s="265">
        <v>45154</v>
      </c>
      <c r="B3028" s="976" t="s">
        <v>10220</v>
      </c>
      <c r="C3028" s="53" t="s">
        <v>8384</v>
      </c>
      <c r="D3028" s="775"/>
      <c r="E3028" s="953"/>
      <c r="F3028" s="146">
        <v>5602</v>
      </c>
      <c r="G3028" s="977">
        <f t="shared" si="62"/>
        <v>-5602</v>
      </c>
      <c r="H3028" s="121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01" t="s">
        <v>10794</v>
      </c>
      <c r="E3034" s="22">
        <v>20300</v>
      </c>
      <c r="F3034" s="19"/>
      <c r="G3034" s="14">
        <f t="shared" si="62"/>
        <v>20300</v>
      </c>
      <c r="H3034" s="1202" t="s">
        <v>9314</v>
      </c>
    </row>
    <row r="3035" spans="1:8" ht="15.75" customHeight="1" x14ac:dyDescent="0.25">
      <c r="A3035" s="112">
        <v>45156</v>
      </c>
      <c r="B3035" s="981" t="s">
        <v>10367</v>
      </c>
      <c r="C3035" s="13" t="s">
        <v>166</v>
      </c>
      <c r="D3035" s="1201"/>
      <c r="E3035" s="22">
        <v>45000</v>
      </c>
      <c r="F3035" s="19"/>
      <c r="G3035" s="14">
        <f t="shared" si="62"/>
        <v>45000</v>
      </c>
      <c r="H3035" s="1203"/>
    </row>
    <row r="3036" spans="1:8" x14ac:dyDescent="0.25">
      <c r="A3036" s="112">
        <v>45156</v>
      </c>
      <c r="B3036" s="21" t="s">
        <v>8645</v>
      </c>
      <c r="C3036" s="13" t="s">
        <v>166</v>
      </c>
      <c r="D3036" s="764"/>
      <c r="E3036" s="22"/>
      <c r="F3036" s="19">
        <v>64845</v>
      </c>
      <c r="G3036" s="14">
        <f t="shared" si="62"/>
        <v>-64845</v>
      </c>
      <c r="H3036" s="1207" t="s">
        <v>10831</v>
      </c>
    </row>
    <row r="3037" spans="1:8" x14ac:dyDescent="0.25">
      <c r="A3037" s="112">
        <v>45156</v>
      </c>
      <c r="B3037" s="21" t="s">
        <v>8856</v>
      </c>
      <c r="C3037" s="13" t="s">
        <v>166</v>
      </c>
      <c r="D3037" s="764"/>
      <c r="E3037" s="22"/>
      <c r="F3037" s="19">
        <v>22500</v>
      </c>
      <c r="G3037" s="14">
        <f t="shared" si="62"/>
        <v>-22500</v>
      </c>
      <c r="H3037" s="1208"/>
    </row>
    <row r="3038" spans="1:8" x14ac:dyDescent="0.25">
      <c r="A3038" s="112">
        <v>45156</v>
      </c>
      <c r="B3038" s="21" t="s">
        <v>10139</v>
      </c>
      <c r="C3038" s="13" t="s">
        <v>166</v>
      </c>
      <c r="D3038" s="764"/>
      <c r="E3038" s="22"/>
      <c r="F3038" s="19">
        <v>19260</v>
      </c>
      <c r="G3038" s="14">
        <f t="shared" si="62"/>
        <v>-19260</v>
      </c>
      <c r="H3038" s="1208"/>
    </row>
    <row r="3039" spans="1:8" x14ac:dyDescent="0.25">
      <c r="A3039" s="112">
        <v>45156</v>
      </c>
      <c r="B3039" s="21" t="s">
        <v>10459</v>
      </c>
      <c r="C3039" s="13" t="s">
        <v>166</v>
      </c>
      <c r="D3039" s="764"/>
      <c r="E3039" s="22"/>
      <c r="F3039" s="19">
        <v>34640</v>
      </c>
      <c r="G3039" s="14">
        <f t="shared" si="62"/>
        <v>-34640</v>
      </c>
      <c r="H3039" s="1208"/>
    </row>
    <row r="3040" spans="1:8" x14ac:dyDescent="0.25">
      <c r="A3040" s="112">
        <v>45156</v>
      </c>
      <c r="B3040" s="981" t="s">
        <v>10367</v>
      </c>
      <c r="C3040" s="13" t="s">
        <v>166</v>
      </c>
      <c r="D3040" s="764"/>
      <c r="E3040" s="22"/>
      <c r="F3040" s="19">
        <v>58755</v>
      </c>
      <c r="G3040" s="14">
        <f t="shared" si="62"/>
        <v>-58755</v>
      </c>
      <c r="H3040" s="120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3" t="s">
        <v>10836</v>
      </c>
    </row>
    <row r="3056" spans="1:8" x14ac:dyDescent="0.25">
      <c r="A3056" s="112">
        <v>45161</v>
      </c>
      <c r="B3056" s="981" t="s">
        <v>10284</v>
      </c>
      <c r="C3056" s="139" t="s">
        <v>8384</v>
      </c>
      <c r="D3056" s="982"/>
      <c r="E3056" s="781"/>
      <c r="F3056" s="141">
        <v>112135</v>
      </c>
      <c r="G3056" s="782">
        <f t="shared" si="62"/>
        <v>-112135</v>
      </c>
      <c r="H3056" s="1214"/>
    </row>
    <row r="3057" spans="1:8" x14ac:dyDescent="0.25">
      <c r="A3057" s="112">
        <v>45161</v>
      </c>
      <c r="B3057" s="21" t="s">
        <v>9344</v>
      </c>
      <c r="C3057" s="139" t="s">
        <v>8384</v>
      </c>
      <c r="D3057" s="982"/>
      <c r="E3057" s="781"/>
      <c r="F3057" s="141">
        <v>22065</v>
      </c>
      <c r="G3057" s="782">
        <f t="shared" si="62"/>
        <v>-22065</v>
      </c>
      <c r="H3057" s="1214"/>
    </row>
    <row r="3058" spans="1:8" x14ac:dyDescent="0.25">
      <c r="A3058" s="112">
        <v>45161</v>
      </c>
      <c r="B3058" s="981" t="s">
        <v>10139</v>
      </c>
      <c r="C3058" s="139" t="s">
        <v>8384</v>
      </c>
      <c r="D3058" s="982"/>
      <c r="E3058" s="781"/>
      <c r="F3058" s="141">
        <v>300000</v>
      </c>
      <c r="G3058" s="782">
        <f t="shared" si="62"/>
        <v>-300000</v>
      </c>
      <c r="H3058" s="1214"/>
    </row>
    <row r="3059" spans="1:8" x14ac:dyDescent="0.25">
      <c r="A3059" s="112">
        <v>45161</v>
      </c>
      <c r="B3059" s="981" t="s">
        <v>10367</v>
      </c>
      <c r="C3059" s="139" t="s">
        <v>8384</v>
      </c>
      <c r="D3059" s="982"/>
      <c r="E3059" s="781"/>
      <c r="F3059" s="141">
        <v>200000</v>
      </c>
      <c r="G3059" s="782">
        <f t="shared" si="62"/>
        <v>-200000</v>
      </c>
      <c r="H3059" s="1214"/>
    </row>
    <row r="3060" spans="1:8" ht="16.5" thickBot="1" x14ac:dyDescent="0.3">
      <c r="A3060" s="112">
        <v>45161</v>
      </c>
      <c r="B3060" s="981" t="s">
        <v>10220</v>
      </c>
      <c r="C3060" s="984" t="s">
        <v>8384</v>
      </c>
      <c r="D3060" s="982"/>
      <c r="E3060" s="781"/>
      <c r="F3060" s="784">
        <v>337781</v>
      </c>
      <c r="G3060" s="782">
        <f t="shared" si="62"/>
        <v>-337781</v>
      </c>
      <c r="H3060" s="121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04" t="s">
        <v>10844</v>
      </c>
    </row>
    <row r="3070" spans="1:8" x14ac:dyDescent="0.25">
      <c r="A3070" s="112">
        <v>45164</v>
      </c>
      <c r="B3070" s="21" t="s">
        <v>9955</v>
      </c>
      <c r="C3070" s="13" t="s">
        <v>169</v>
      </c>
      <c r="D3070" s="764"/>
      <c r="E3070" s="781"/>
      <c r="F3070" s="141">
        <v>23382</v>
      </c>
      <c r="G3070" s="782">
        <f t="shared" si="62"/>
        <v>-23382</v>
      </c>
      <c r="H3070" s="1205"/>
    </row>
    <row r="3071" spans="1:8" x14ac:dyDescent="0.25">
      <c r="A3071" s="112">
        <v>45164</v>
      </c>
      <c r="B3071" s="21" t="s">
        <v>9974</v>
      </c>
      <c r="C3071" s="13" t="s">
        <v>169</v>
      </c>
      <c r="D3071" s="764"/>
      <c r="E3071" s="781"/>
      <c r="F3071" s="141">
        <v>37222</v>
      </c>
      <c r="G3071" s="782">
        <f t="shared" si="62"/>
        <v>-37222</v>
      </c>
      <c r="H3071" s="1205"/>
    </row>
    <row r="3072" spans="1:8" x14ac:dyDescent="0.25">
      <c r="A3072" s="112">
        <v>45164</v>
      </c>
      <c r="B3072" s="21" t="s">
        <v>10284</v>
      </c>
      <c r="C3072" s="13" t="s">
        <v>169</v>
      </c>
      <c r="D3072" s="764"/>
      <c r="E3072" s="781"/>
      <c r="F3072" s="141">
        <v>129892</v>
      </c>
      <c r="G3072" s="782">
        <f t="shared" si="62"/>
        <v>-129892</v>
      </c>
      <c r="H3072" s="1205"/>
    </row>
    <row r="3073" spans="1:8" ht="16.5" thickBot="1" x14ac:dyDescent="0.3">
      <c r="A3073" s="112">
        <v>45164</v>
      </c>
      <c r="B3073" s="21" t="s">
        <v>10559</v>
      </c>
      <c r="C3073" s="13" t="s">
        <v>169</v>
      </c>
      <c r="D3073" s="764"/>
      <c r="E3073" s="781"/>
      <c r="F3073" s="784">
        <v>7300</v>
      </c>
      <c r="G3073" s="782">
        <f t="shared" si="62"/>
        <v>-7300</v>
      </c>
      <c r="H3073" s="120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10" t="s">
        <v>10864</v>
      </c>
    </row>
    <row r="3076" spans="1:8" x14ac:dyDescent="0.25">
      <c r="A3076" s="112">
        <v>45164</v>
      </c>
      <c r="B3076" s="21" t="s">
        <v>10284</v>
      </c>
      <c r="C3076" s="13" t="s">
        <v>1802</v>
      </c>
      <c r="D3076" s="764"/>
      <c r="E3076" s="781"/>
      <c r="F3076" s="141">
        <v>4870</v>
      </c>
      <c r="G3076" s="782">
        <f t="shared" si="62"/>
        <v>-4870</v>
      </c>
      <c r="H3076" s="1211"/>
    </row>
    <row r="3077" spans="1:8" ht="16.5" thickBot="1" x14ac:dyDescent="0.3">
      <c r="A3077" s="112">
        <v>45164</v>
      </c>
      <c r="B3077" s="21" t="s">
        <v>10890</v>
      </c>
      <c r="C3077" s="13" t="s">
        <v>1802</v>
      </c>
      <c r="D3077" s="764"/>
      <c r="E3077" s="953"/>
      <c r="F3077" s="784">
        <v>75050</v>
      </c>
      <c r="G3077" s="977">
        <f t="shared" si="62"/>
        <v>-75050</v>
      </c>
      <c r="H3077" s="121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2" t="s">
        <v>10985</v>
      </c>
    </row>
    <row r="3102" spans="1:8" x14ac:dyDescent="0.25">
      <c r="A3102" s="112">
        <v>45174</v>
      </c>
      <c r="B3102" s="21" t="s">
        <v>10559</v>
      </c>
      <c r="C3102" s="13" t="s">
        <v>180</v>
      </c>
      <c r="D3102" s="764"/>
      <c r="E3102" s="22"/>
      <c r="F3102" s="19">
        <v>120960</v>
      </c>
      <c r="G3102" s="14">
        <f t="shared" si="62"/>
        <v>-120960</v>
      </c>
      <c r="H3102" s="1193"/>
    </row>
    <row r="3103" spans="1:8" x14ac:dyDescent="0.25">
      <c r="A3103" s="112">
        <v>45174</v>
      </c>
      <c r="B3103" s="21" t="s">
        <v>10367</v>
      </c>
      <c r="C3103" s="13" t="s">
        <v>180</v>
      </c>
      <c r="D3103" s="764"/>
      <c r="E3103" s="22"/>
      <c r="F3103" s="19">
        <v>4960</v>
      </c>
      <c r="G3103" s="14">
        <f t="shared" si="62"/>
        <v>-4960</v>
      </c>
      <c r="H3103" s="119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6" t="s">
        <v>11141</v>
      </c>
      <c r="E3146" s="22">
        <v>35941</v>
      </c>
      <c r="F3146" s="19"/>
      <c r="G3146" s="14">
        <f t="shared" si="62"/>
        <v>35941</v>
      </c>
      <c r="H3146" s="13"/>
    </row>
    <row r="3147" spans="1:8" x14ac:dyDescent="0.25">
      <c r="A3147" s="112">
        <v>45190</v>
      </c>
      <c r="B3147" s="21" t="s">
        <v>11054</v>
      </c>
      <c r="C3147" s="13" t="s">
        <v>8384</v>
      </c>
      <c r="D3147" s="121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6" t="s">
        <v>11143</v>
      </c>
      <c r="E3149" s="22">
        <v>3870</v>
      </c>
      <c r="F3149" s="19"/>
      <c r="G3149" s="14">
        <f t="shared" si="62"/>
        <v>3870</v>
      </c>
      <c r="H3149" s="13"/>
    </row>
    <row r="3150" spans="1:8" x14ac:dyDescent="0.25">
      <c r="A3150" s="112">
        <v>45190</v>
      </c>
      <c r="B3150" s="21" t="s">
        <v>11054</v>
      </c>
      <c r="C3150" s="13" t="s">
        <v>8384</v>
      </c>
      <c r="D3150" s="121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18" t="s">
        <v>11151</v>
      </c>
    </row>
    <row r="3164" spans="1:8" x14ac:dyDescent="0.25">
      <c r="A3164" s="112">
        <v>45188</v>
      </c>
      <c r="B3164" s="21" t="s">
        <v>9955</v>
      </c>
      <c r="C3164" s="13" t="s">
        <v>164</v>
      </c>
      <c r="D3164" s="764"/>
      <c r="E3164" s="781"/>
      <c r="F3164" s="141">
        <v>1260</v>
      </c>
      <c r="G3164" s="782">
        <f t="shared" ref="G3164:G3266" si="64">E3164-F3164</f>
        <v>-1260</v>
      </c>
      <c r="H3164" s="1219"/>
    </row>
    <row r="3165" spans="1:8" x14ac:dyDescent="0.25">
      <c r="A3165" s="112">
        <v>45188</v>
      </c>
      <c r="B3165" s="21" t="s">
        <v>9974</v>
      </c>
      <c r="C3165" s="13" t="s">
        <v>164</v>
      </c>
      <c r="D3165" s="764"/>
      <c r="E3165" s="781"/>
      <c r="F3165" s="141">
        <v>9626</v>
      </c>
      <c r="G3165" s="782">
        <f t="shared" si="64"/>
        <v>-9626</v>
      </c>
      <c r="H3165" s="1219"/>
    </row>
    <row r="3166" spans="1:8" x14ac:dyDescent="0.25">
      <c r="A3166" s="112">
        <v>45188</v>
      </c>
      <c r="B3166" s="21" t="s">
        <v>10139</v>
      </c>
      <c r="C3166" s="13" t="s">
        <v>164</v>
      </c>
      <c r="D3166" s="764"/>
      <c r="E3166" s="781"/>
      <c r="F3166" s="141">
        <v>6023</v>
      </c>
      <c r="G3166" s="782">
        <f t="shared" si="64"/>
        <v>-6023</v>
      </c>
      <c r="H3166" s="1219"/>
    </row>
    <row r="3167" spans="1:8" x14ac:dyDescent="0.25">
      <c r="A3167" s="112">
        <v>45188</v>
      </c>
      <c r="B3167" s="21" t="s">
        <v>10284</v>
      </c>
      <c r="C3167" s="13" t="s">
        <v>164</v>
      </c>
      <c r="D3167" s="764"/>
      <c r="E3167" s="781"/>
      <c r="F3167" s="141">
        <v>6055</v>
      </c>
      <c r="G3167" s="782">
        <f t="shared" si="64"/>
        <v>-6055</v>
      </c>
      <c r="H3167" s="1219"/>
    </row>
    <row r="3168" spans="1:8" x14ac:dyDescent="0.25">
      <c r="A3168" s="112">
        <v>45188</v>
      </c>
      <c r="B3168" s="21" t="s">
        <v>10459</v>
      </c>
      <c r="C3168" s="13" t="s">
        <v>164</v>
      </c>
      <c r="D3168" s="764"/>
      <c r="E3168" s="781"/>
      <c r="F3168" s="141">
        <v>60002</v>
      </c>
      <c r="G3168" s="782">
        <f t="shared" si="64"/>
        <v>-60002</v>
      </c>
      <c r="H3168" s="1219"/>
    </row>
    <row r="3169" spans="1:8" x14ac:dyDescent="0.25">
      <c r="A3169" s="112">
        <v>45188</v>
      </c>
      <c r="B3169" s="21" t="s">
        <v>10220</v>
      </c>
      <c r="C3169" s="13" t="s">
        <v>164</v>
      </c>
      <c r="D3169" s="764"/>
      <c r="E3169" s="781"/>
      <c r="F3169" s="141">
        <v>9551</v>
      </c>
      <c r="G3169" s="782">
        <f t="shared" si="64"/>
        <v>-9551</v>
      </c>
      <c r="H3169" s="1219"/>
    </row>
    <row r="3170" spans="1:8" x14ac:dyDescent="0.25">
      <c r="A3170" s="112">
        <v>45188</v>
      </c>
      <c r="B3170" s="21" t="s">
        <v>9344</v>
      </c>
      <c r="C3170" s="13" t="s">
        <v>164</v>
      </c>
      <c r="D3170" s="764"/>
      <c r="E3170" s="781"/>
      <c r="F3170" s="141">
        <v>20807</v>
      </c>
      <c r="G3170" s="782">
        <f t="shared" si="64"/>
        <v>-20807</v>
      </c>
      <c r="H3170" s="1219"/>
    </row>
    <row r="3171" spans="1:8" ht="16.5" thickBot="1" x14ac:dyDescent="0.3">
      <c r="A3171" s="112">
        <v>45188</v>
      </c>
      <c r="B3171" s="21" t="s">
        <v>10367</v>
      </c>
      <c r="C3171" s="13" t="s">
        <v>164</v>
      </c>
      <c r="D3171" s="764"/>
      <c r="E3171" s="781"/>
      <c r="F3171" s="784">
        <v>14924</v>
      </c>
      <c r="G3171" s="782">
        <f t="shared" si="64"/>
        <v>-14924</v>
      </c>
      <c r="H3171" s="122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2" t="s">
        <v>11150</v>
      </c>
    </row>
    <row r="3175" spans="1:8" x14ac:dyDescent="0.25">
      <c r="A3175" s="112">
        <v>45190</v>
      </c>
      <c r="B3175" s="21" t="s">
        <v>10559</v>
      </c>
      <c r="C3175" s="13" t="s">
        <v>169</v>
      </c>
      <c r="D3175" s="764"/>
      <c r="E3175" s="781"/>
      <c r="F3175" s="141">
        <v>100000</v>
      </c>
      <c r="G3175" s="782">
        <f t="shared" si="64"/>
        <v>-100000</v>
      </c>
      <c r="H3175" s="1193"/>
    </row>
    <row r="3176" spans="1:8" ht="16.5" thickBot="1" x14ac:dyDescent="0.3">
      <c r="A3176" s="112">
        <v>45190</v>
      </c>
      <c r="B3176" s="21" t="s">
        <v>9344</v>
      </c>
      <c r="C3176" s="13" t="s">
        <v>169</v>
      </c>
      <c r="D3176" s="764"/>
      <c r="E3176" s="781"/>
      <c r="F3176" s="784">
        <v>300000</v>
      </c>
      <c r="G3176" s="782">
        <f t="shared" si="64"/>
        <v>-300000</v>
      </c>
      <c r="H3176" s="119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2" t="s">
        <v>11202</v>
      </c>
    </row>
    <row r="3184" spans="1:8" x14ac:dyDescent="0.25">
      <c r="A3184" s="112">
        <v>45195</v>
      </c>
      <c r="B3184" s="21" t="s">
        <v>10559</v>
      </c>
      <c r="C3184" s="13" t="s">
        <v>8384</v>
      </c>
      <c r="D3184" s="764"/>
      <c r="E3184" s="781"/>
      <c r="F3184" s="151">
        <v>11574</v>
      </c>
      <c r="G3184" s="782">
        <f t="shared" si="64"/>
        <v>-11574</v>
      </c>
      <c r="H3184" s="1193"/>
    </row>
    <row r="3185" spans="1:8" x14ac:dyDescent="0.25">
      <c r="A3185" s="112">
        <v>45195</v>
      </c>
      <c r="B3185" s="21" t="s">
        <v>9344</v>
      </c>
      <c r="C3185" s="13" t="s">
        <v>8384</v>
      </c>
      <c r="D3185" s="764"/>
      <c r="E3185" s="781"/>
      <c r="F3185" s="151">
        <v>120076</v>
      </c>
      <c r="G3185" s="782">
        <f t="shared" si="64"/>
        <v>-120076</v>
      </c>
      <c r="H3185" s="1193"/>
    </row>
    <row r="3186" spans="1:8" x14ac:dyDescent="0.25">
      <c r="A3186" s="112">
        <v>45195</v>
      </c>
      <c r="B3186" s="21" t="s">
        <v>10367</v>
      </c>
      <c r="C3186" s="13" t="s">
        <v>8384</v>
      </c>
      <c r="D3186" s="764"/>
      <c r="E3186" s="781"/>
      <c r="F3186" s="151">
        <v>209438</v>
      </c>
      <c r="G3186" s="782">
        <f t="shared" si="64"/>
        <v>-209438</v>
      </c>
      <c r="H3186" s="1193"/>
    </row>
    <row r="3187" spans="1:8" x14ac:dyDescent="0.25">
      <c r="A3187" s="112">
        <v>45195</v>
      </c>
      <c r="B3187" s="21" t="s">
        <v>11054</v>
      </c>
      <c r="C3187" s="13" t="s">
        <v>8384</v>
      </c>
      <c r="D3187" s="764"/>
      <c r="E3187" s="781"/>
      <c r="F3187" s="151">
        <v>203556</v>
      </c>
      <c r="G3187" s="782">
        <f t="shared" si="64"/>
        <v>-203556</v>
      </c>
      <c r="H3187" s="1193"/>
    </row>
    <row r="3188" spans="1:8" ht="16.5" customHeight="1" thickBot="1" x14ac:dyDescent="0.3">
      <c r="A3188" s="112">
        <v>45195</v>
      </c>
      <c r="B3188" s="21" t="s">
        <v>10564</v>
      </c>
      <c r="C3188" s="13" t="s">
        <v>8384</v>
      </c>
      <c r="D3188" s="764"/>
      <c r="E3188" s="781"/>
      <c r="F3188" s="295">
        <v>296860</v>
      </c>
      <c r="G3188" s="782">
        <f t="shared" si="64"/>
        <v>-296860</v>
      </c>
      <c r="H3188" s="1194"/>
    </row>
    <row r="3189" spans="1:8" x14ac:dyDescent="0.25">
      <c r="A3189" s="112">
        <v>45195</v>
      </c>
      <c r="B3189" s="21" t="s">
        <v>10559</v>
      </c>
      <c r="C3189" s="13" t="s">
        <v>7465</v>
      </c>
      <c r="D3189" s="764"/>
      <c r="E3189" s="781"/>
      <c r="F3189" s="783">
        <v>586928</v>
      </c>
      <c r="G3189" s="782">
        <f t="shared" si="64"/>
        <v>-586928</v>
      </c>
      <c r="H3189" s="1186" t="s">
        <v>11191</v>
      </c>
    </row>
    <row r="3190" spans="1:8" x14ac:dyDescent="0.25">
      <c r="A3190" s="112">
        <v>45195</v>
      </c>
      <c r="B3190" s="21" t="s">
        <v>9649</v>
      </c>
      <c r="C3190" s="13" t="s">
        <v>7465</v>
      </c>
      <c r="D3190" s="764"/>
      <c r="E3190" s="781"/>
      <c r="F3190" s="141">
        <v>130436</v>
      </c>
      <c r="G3190" s="782">
        <f t="shared" si="64"/>
        <v>-130436</v>
      </c>
      <c r="H3190" s="1187"/>
    </row>
    <row r="3191" spans="1:8" ht="16.5" thickBot="1" x14ac:dyDescent="0.3">
      <c r="A3191" s="112">
        <v>45195</v>
      </c>
      <c r="B3191" s="21" t="s">
        <v>10284</v>
      </c>
      <c r="C3191" s="13" t="s">
        <v>7465</v>
      </c>
      <c r="D3191" s="764"/>
      <c r="E3191" s="781"/>
      <c r="F3191" s="784">
        <v>82636</v>
      </c>
      <c r="G3191" s="782">
        <f t="shared" si="64"/>
        <v>-82636</v>
      </c>
      <c r="H3191" s="118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2" t="s">
        <v>11150</v>
      </c>
    </row>
    <row r="3195" spans="1:8" x14ac:dyDescent="0.25">
      <c r="A3195" s="112">
        <v>45195</v>
      </c>
      <c r="B3195" s="21" t="s">
        <v>10139</v>
      </c>
      <c r="C3195" s="13" t="s">
        <v>7465</v>
      </c>
      <c r="D3195" s="764"/>
      <c r="E3195" s="781"/>
      <c r="F3195" s="151">
        <v>228360</v>
      </c>
      <c r="G3195" s="782">
        <f t="shared" si="64"/>
        <v>-228360</v>
      </c>
      <c r="H3195" s="1193"/>
    </row>
    <row r="3196" spans="1:8" x14ac:dyDescent="0.25">
      <c r="A3196" s="112">
        <v>45195</v>
      </c>
      <c r="B3196" s="21" t="s">
        <v>9974</v>
      </c>
      <c r="C3196" s="13" t="s">
        <v>7465</v>
      </c>
      <c r="D3196" s="764"/>
      <c r="E3196" s="781"/>
      <c r="F3196" s="151">
        <v>35755</v>
      </c>
      <c r="G3196" s="782">
        <f t="shared" si="64"/>
        <v>-35755</v>
      </c>
      <c r="H3196" s="1193"/>
    </row>
    <row r="3197" spans="1:8" ht="16.5" thickBot="1" x14ac:dyDescent="0.3">
      <c r="A3197" s="112">
        <v>45195</v>
      </c>
      <c r="B3197" s="21" t="s">
        <v>11054</v>
      </c>
      <c r="C3197" s="13" t="s">
        <v>7465</v>
      </c>
      <c r="D3197" s="764"/>
      <c r="E3197" s="781"/>
      <c r="F3197" s="295">
        <f>500000-F3196-F3195-F3194</f>
        <v>203425</v>
      </c>
      <c r="G3197" s="782">
        <f t="shared" si="64"/>
        <v>-203425</v>
      </c>
      <c r="H3197" s="119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2" t="s">
        <v>11150</v>
      </c>
    </row>
    <row r="3211" spans="1:8" x14ac:dyDescent="0.25">
      <c r="A3211" s="112">
        <v>45202</v>
      </c>
      <c r="B3211" s="21" t="s">
        <v>8856</v>
      </c>
      <c r="C3211" s="13" t="s">
        <v>168</v>
      </c>
      <c r="D3211" s="764"/>
      <c r="E3211" s="781"/>
      <c r="F3211" s="151">
        <v>227720</v>
      </c>
      <c r="G3211" s="782">
        <f t="shared" si="64"/>
        <v>-227720</v>
      </c>
      <c r="H3211" s="1193"/>
    </row>
    <row r="3212" spans="1:8" x14ac:dyDescent="0.25">
      <c r="A3212" s="112">
        <v>45202</v>
      </c>
      <c r="B3212" s="21" t="s">
        <v>9495</v>
      </c>
      <c r="C3212" s="13" t="s">
        <v>168</v>
      </c>
      <c r="D3212" s="764"/>
      <c r="E3212" s="781"/>
      <c r="F3212" s="151">
        <v>9820</v>
      </c>
      <c r="G3212" s="782">
        <f t="shared" si="64"/>
        <v>-9820</v>
      </c>
      <c r="H3212" s="1193"/>
    </row>
    <row r="3213" spans="1:8" ht="16.5" thickBot="1" x14ac:dyDescent="0.3">
      <c r="A3213" s="112">
        <v>45202</v>
      </c>
      <c r="B3213" s="21" t="s">
        <v>10284</v>
      </c>
      <c r="C3213" s="13" t="s">
        <v>168</v>
      </c>
      <c r="D3213" s="764"/>
      <c r="E3213" s="781"/>
      <c r="F3213" s="295">
        <v>179260</v>
      </c>
      <c r="G3213" s="782">
        <f t="shared" si="64"/>
        <v>-179260</v>
      </c>
      <c r="H3213" s="119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2" t="s">
        <v>11373</v>
      </c>
    </row>
    <row r="3267" spans="1:8" x14ac:dyDescent="0.25">
      <c r="A3267" s="112">
        <v>45216</v>
      </c>
      <c r="B3267" s="21" t="s">
        <v>9344</v>
      </c>
      <c r="C3267" s="13" t="s">
        <v>8384</v>
      </c>
      <c r="D3267" s="764"/>
      <c r="E3267" s="22"/>
      <c r="F3267" s="19">
        <v>3763</v>
      </c>
      <c r="G3267" s="14">
        <f t="shared" ref="G3267:G3363" si="65">E3267-F3267</f>
        <v>-3763</v>
      </c>
      <c r="H3267" s="1193"/>
    </row>
    <row r="3268" spans="1:8" x14ac:dyDescent="0.25">
      <c r="A3268" s="112">
        <v>45216</v>
      </c>
      <c r="B3268" s="21" t="s">
        <v>10367</v>
      </c>
      <c r="C3268" s="13" t="s">
        <v>8384</v>
      </c>
      <c r="D3268" s="764"/>
      <c r="E3268" s="22"/>
      <c r="F3268" s="19">
        <v>17368</v>
      </c>
      <c r="G3268" s="14">
        <f t="shared" si="65"/>
        <v>-17368</v>
      </c>
      <c r="H3268" s="1193"/>
    </row>
    <row r="3269" spans="1:8" x14ac:dyDescent="0.25">
      <c r="A3269" s="112">
        <v>45216</v>
      </c>
      <c r="B3269" s="21" t="s">
        <v>11054</v>
      </c>
      <c r="C3269" s="13" t="s">
        <v>8384</v>
      </c>
      <c r="D3269" s="764"/>
      <c r="E3269" s="22"/>
      <c r="F3269" s="19">
        <v>194858</v>
      </c>
      <c r="G3269" s="14">
        <f t="shared" si="65"/>
        <v>-194858</v>
      </c>
      <c r="H3269" s="1193"/>
    </row>
    <row r="3270" spans="1:8" x14ac:dyDescent="0.25">
      <c r="A3270" s="112">
        <v>45216</v>
      </c>
      <c r="B3270" s="21" t="s">
        <v>10220</v>
      </c>
      <c r="C3270" s="13" t="s">
        <v>8384</v>
      </c>
      <c r="D3270" s="764"/>
      <c r="E3270" s="22"/>
      <c r="F3270" s="19">
        <v>650000</v>
      </c>
      <c r="G3270" s="14">
        <f t="shared" si="65"/>
        <v>-650000</v>
      </c>
      <c r="H3270" s="1193"/>
    </row>
    <row r="3271" spans="1:8" x14ac:dyDescent="0.25">
      <c r="A3271" s="112">
        <v>45216</v>
      </c>
      <c r="B3271" s="21" t="s">
        <v>10890</v>
      </c>
      <c r="C3271" s="13" t="s">
        <v>8384</v>
      </c>
      <c r="D3271" s="764"/>
      <c r="E3271" s="22"/>
      <c r="F3271" s="19">
        <v>308871</v>
      </c>
      <c r="G3271" s="14">
        <f t="shared" si="65"/>
        <v>-308871</v>
      </c>
      <c r="H3271" s="1193"/>
    </row>
    <row r="3272" spans="1:8" x14ac:dyDescent="0.25">
      <c r="A3272" s="112">
        <v>45216</v>
      </c>
      <c r="B3272" s="21" t="s">
        <v>10564</v>
      </c>
      <c r="C3272" s="13" t="s">
        <v>8384</v>
      </c>
      <c r="D3272" s="764"/>
      <c r="E3272" s="22"/>
      <c r="F3272" s="19">
        <v>250000</v>
      </c>
      <c r="G3272" s="14">
        <f t="shared" si="65"/>
        <v>-250000</v>
      </c>
      <c r="H3272" s="119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91" t="s">
        <v>11424</v>
      </c>
      <c r="E3284" s="22">
        <v>20103</v>
      </c>
      <c r="F3284" s="19"/>
      <c r="G3284" s="14">
        <f t="shared" si="65"/>
        <v>20103</v>
      </c>
      <c r="H3284" s="13"/>
    </row>
    <row r="3285" spans="1:8" x14ac:dyDescent="0.25">
      <c r="A3285" s="112">
        <v>45220</v>
      </c>
      <c r="B3285" s="21" t="s">
        <v>11177</v>
      </c>
      <c r="C3285" s="13" t="s">
        <v>8384</v>
      </c>
      <c r="D3285" s="119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6" t="s">
        <v>11555</v>
      </c>
    </row>
    <row r="3322" spans="1:8" ht="16.5" thickBot="1" x14ac:dyDescent="0.3">
      <c r="A3322" s="112">
        <v>45233</v>
      </c>
      <c r="B3322" s="21" t="s">
        <v>11054</v>
      </c>
      <c r="C3322" s="13" t="s">
        <v>7465</v>
      </c>
      <c r="D3322" s="764"/>
      <c r="E3322" s="781"/>
      <c r="F3322" s="784">
        <v>173681</v>
      </c>
      <c r="G3322" s="782">
        <f t="shared" si="65"/>
        <v>-173681</v>
      </c>
      <c r="H3322" s="118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6" t="s">
        <v>12248</v>
      </c>
    </row>
    <row r="3387" spans="1:8" x14ac:dyDescent="0.25">
      <c r="A3387" s="112">
        <v>45248</v>
      </c>
      <c r="B3387" s="21" t="s">
        <v>11586</v>
      </c>
      <c r="C3387" s="13" t="s">
        <v>168</v>
      </c>
      <c r="D3387" s="764"/>
      <c r="E3387" s="22"/>
      <c r="F3387" s="109">
        <v>250000</v>
      </c>
      <c r="G3387" s="14">
        <f t="shared" si="67"/>
        <v>-250000</v>
      </c>
      <c r="H3387" s="118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98" t="s">
        <v>12033</v>
      </c>
    </row>
    <row r="3477" spans="1:8" x14ac:dyDescent="0.25">
      <c r="A3477" s="112">
        <v>45286</v>
      </c>
      <c r="B3477" s="21" t="s">
        <v>10139</v>
      </c>
      <c r="C3477" s="13" t="s">
        <v>166</v>
      </c>
      <c r="D3477" s="764"/>
      <c r="E3477" s="781"/>
      <c r="F3477" s="141">
        <v>21340</v>
      </c>
      <c r="G3477" s="782">
        <f t="shared" si="68"/>
        <v>-21340</v>
      </c>
      <c r="H3477" s="1198"/>
    </row>
    <row r="3478" spans="1:8" x14ac:dyDescent="0.25">
      <c r="A3478" s="112">
        <v>45286</v>
      </c>
      <c r="B3478" s="21" t="s">
        <v>10459</v>
      </c>
      <c r="C3478" s="13" t="s">
        <v>166</v>
      </c>
      <c r="D3478" s="764"/>
      <c r="E3478" s="781"/>
      <c r="F3478" s="141">
        <v>140985</v>
      </c>
      <c r="G3478" s="782">
        <f t="shared" si="68"/>
        <v>-140985</v>
      </c>
      <c r="H3478" s="1198"/>
    </row>
    <row r="3479" spans="1:8" x14ac:dyDescent="0.25">
      <c r="A3479" s="112">
        <v>45286</v>
      </c>
      <c r="B3479" s="21" t="s">
        <v>10220</v>
      </c>
      <c r="C3479" s="13" t="s">
        <v>166</v>
      </c>
      <c r="D3479" s="764"/>
      <c r="E3479" s="781"/>
      <c r="F3479" s="141">
        <v>15980</v>
      </c>
      <c r="G3479" s="782">
        <f t="shared" si="68"/>
        <v>-15980</v>
      </c>
      <c r="H3479" s="1198"/>
    </row>
    <row r="3480" spans="1:8" x14ac:dyDescent="0.25">
      <c r="A3480" s="112">
        <v>45286</v>
      </c>
      <c r="B3480" s="21" t="s">
        <v>10559</v>
      </c>
      <c r="C3480" s="13" t="s">
        <v>166</v>
      </c>
      <c r="D3480" s="764"/>
      <c r="E3480" s="781"/>
      <c r="F3480" s="141">
        <v>45000</v>
      </c>
      <c r="G3480" s="782">
        <f t="shared" si="68"/>
        <v>-45000</v>
      </c>
      <c r="H3480" s="1198"/>
    </row>
    <row r="3481" spans="1:8" x14ac:dyDescent="0.25">
      <c r="A3481" s="112">
        <v>45286</v>
      </c>
      <c r="B3481" s="21" t="s">
        <v>10367</v>
      </c>
      <c r="C3481" s="13" t="s">
        <v>166</v>
      </c>
      <c r="D3481" s="764"/>
      <c r="E3481" s="781"/>
      <c r="F3481" s="141">
        <v>114255</v>
      </c>
      <c r="G3481" s="782">
        <f t="shared" si="68"/>
        <v>-114255</v>
      </c>
      <c r="H3481" s="1198"/>
    </row>
    <row r="3482" spans="1:8" x14ac:dyDescent="0.25">
      <c r="A3482" s="112">
        <v>45286</v>
      </c>
      <c r="B3482" s="21" t="s">
        <v>10890</v>
      </c>
      <c r="C3482" s="13" t="s">
        <v>166</v>
      </c>
      <c r="D3482" s="764"/>
      <c r="E3482" s="781"/>
      <c r="F3482" s="141">
        <v>83530</v>
      </c>
      <c r="G3482" s="782">
        <f t="shared" si="68"/>
        <v>-83530</v>
      </c>
      <c r="H3482" s="1198"/>
    </row>
    <row r="3483" spans="1:8" x14ac:dyDescent="0.25">
      <c r="A3483" s="112">
        <v>45286</v>
      </c>
      <c r="B3483" s="21" t="s">
        <v>10986</v>
      </c>
      <c r="C3483" s="13" t="s">
        <v>166</v>
      </c>
      <c r="D3483" s="764"/>
      <c r="E3483" s="781"/>
      <c r="F3483" s="141">
        <v>65500</v>
      </c>
      <c r="G3483" s="782">
        <f t="shared" si="68"/>
        <v>-65500</v>
      </c>
      <c r="H3483" s="1198"/>
    </row>
    <row r="3484" spans="1:8" x14ac:dyDescent="0.25">
      <c r="A3484" s="112">
        <v>45286</v>
      </c>
      <c r="B3484" s="21" t="s">
        <v>11423</v>
      </c>
      <c r="C3484" s="13" t="s">
        <v>166</v>
      </c>
      <c r="D3484" s="764"/>
      <c r="E3484" s="781"/>
      <c r="F3484" s="141">
        <v>250855</v>
      </c>
      <c r="G3484" s="782">
        <f t="shared" si="68"/>
        <v>-250855</v>
      </c>
      <c r="H3484" s="1198"/>
    </row>
    <row r="3485" spans="1:8" x14ac:dyDescent="0.25">
      <c r="A3485" s="112">
        <v>45286</v>
      </c>
      <c r="B3485" s="21" t="s">
        <v>11586</v>
      </c>
      <c r="C3485" s="13" t="s">
        <v>166</v>
      </c>
      <c r="D3485" s="764"/>
      <c r="E3485" s="781"/>
      <c r="F3485" s="141">
        <v>41135</v>
      </c>
      <c r="G3485" s="782">
        <f t="shared" si="68"/>
        <v>-41135</v>
      </c>
      <c r="H3485" s="1198"/>
    </row>
    <row r="3486" spans="1:8" x14ac:dyDescent="0.25">
      <c r="A3486" s="112">
        <v>45286</v>
      </c>
      <c r="B3486" s="21" t="s">
        <v>10890</v>
      </c>
      <c r="C3486" s="13" t="s">
        <v>166</v>
      </c>
      <c r="D3486" s="764"/>
      <c r="E3486" s="781"/>
      <c r="F3486" s="146">
        <v>103490</v>
      </c>
      <c r="G3486" s="782">
        <f t="shared" si="68"/>
        <v>-103490</v>
      </c>
      <c r="H3486" s="1198"/>
    </row>
    <row r="3487" spans="1:8" x14ac:dyDescent="0.25">
      <c r="A3487" s="112">
        <v>45286</v>
      </c>
      <c r="B3487" s="21" t="s">
        <v>11864</v>
      </c>
      <c r="C3487" s="13" t="s">
        <v>166</v>
      </c>
      <c r="D3487" s="764"/>
      <c r="E3487" s="781"/>
      <c r="F3487" s="146">
        <v>56000</v>
      </c>
      <c r="G3487" s="782">
        <f t="shared" si="68"/>
        <v>-56000</v>
      </c>
      <c r="H3487" s="1198"/>
    </row>
    <row r="3488" spans="1:8" ht="16.5" thickBot="1" x14ac:dyDescent="0.3">
      <c r="A3488" s="112">
        <v>45286</v>
      </c>
      <c r="B3488" s="21" t="s">
        <v>12171</v>
      </c>
      <c r="C3488" s="13" t="s">
        <v>166</v>
      </c>
      <c r="D3488" s="764"/>
      <c r="E3488" s="781"/>
      <c r="F3488" s="784">
        <v>45650</v>
      </c>
      <c r="G3488" s="782">
        <f t="shared" si="68"/>
        <v>-45650</v>
      </c>
      <c r="H3488" s="119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6" t="s">
        <v>13018</v>
      </c>
    </row>
    <row r="3493" spans="1:8" x14ac:dyDescent="0.25">
      <c r="A3493" s="112">
        <v>45287</v>
      </c>
      <c r="B3493" s="21" t="s">
        <v>6407</v>
      </c>
      <c r="C3493" s="13" t="s">
        <v>1802</v>
      </c>
      <c r="D3493" s="764"/>
      <c r="E3493" s="781"/>
      <c r="F3493" s="141">
        <v>80843</v>
      </c>
      <c r="G3493" s="782">
        <f t="shared" si="68"/>
        <v>-80843</v>
      </c>
      <c r="H3493" s="1187"/>
    </row>
    <row r="3494" spans="1:8" x14ac:dyDescent="0.25">
      <c r="A3494" s="112">
        <v>45287</v>
      </c>
      <c r="B3494" s="21" t="s">
        <v>6506</v>
      </c>
      <c r="C3494" s="13" t="s">
        <v>1802</v>
      </c>
      <c r="D3494" s="764"/>
      <c r="E3494" s="781"/>
      <c r="F3494" s="141">
        <v>4245</v>
      </c>
      <c r="G3494" s="782">
        <f t="shared" si="68"/>
        <v>-4245</v>
      </c>
      <c r="H3494" s="1187"/>
    </row>
    <row r="3495" spans="1:8" ht="16.5" thickBot="1" x14ac:dyDescent="0.3">
      <c r="A3495" s="112">
        <v>45287</v>
      </c>
      <c r="B3495" s="21" t="s">
        <v>10284</v>
      </c>
      <c r="C3495" s="13" t="s">
        <v>1802</v>
      </c>
      <c r="D3495" s="764"/>
      <c r="E3495" s="781"/>
      <c r="F3495" s="784">
        <v>5367</v>
      </c>
      <c r="G3495" s="782">
        <f t="shared" si="68"/>
        <v>-5367</v>
      </c>
      <c r="H3495" s="118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95" t="s">
        <v>11970</v>
      </c>
    </row>
    <row r="3508" spans="1:8" x14ac:dyDescent="0.25">
      <c r="A3508" s="112">
        <v>45294</v>
      </c>
      <c r="B3508" s="21" t="s">
        <v>10367</v>
      </c>
      <c r="C3508" s="13" t="s">
        <v>5680</v>
      </c>
      <c r="D3508" s="764"/>
      <c r="E3508" s="22"/>
      <c r="F3508" s="19">
        <v>190000</v>
      </c>
      <c r="G3508" s="14">
        <f t="shared" si="68"/>
        <v>-190000</v>
      </c>
      <c r="H3508" s="1197"/>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6" t="s">
        <v>12102</v>
      </c>
    </row>
    <row r="3514" spans="1:8" x14ac:dyDescent="0.25">
      <c r="A3514" s="112">
        <v>45295</v>
      </c>
      <c r="B3514" s="21" t="s">
        <v>11423</v>
      </c>
      <c r="C3514" s="13" t="s">
        <v>8384</v>
      </c>
      <c r="D3514" s="764"/>
      <c r="E3514" s="22"/>
      <c r="F3514" s="19">
        <v>250000</v>
      </c>
      <c r="G3514" s="14">
        <f t="shared" si="68"/>
        <v>-250000</v>
      </c>
      <c r="H3514" s="1187"/>
    </row>
    <row r="3515" spans="1:8" x14ac:dyDescent="0.25">
      <c r="A3515" s="112">
        <v>45295</v>
      </c>
      <c r="B3515" s="21" t="s">
        <v>11586</v>
      </c>
      <c r="C3515" s="13" t="s">
        <v>8384</v>
      </c>
      <c r="D3515" s="764"/>
      <c r="E3515" s="22"/>
      <c r="F3515" s="19">
        <v>500000</v>
      </c>
      <c r="G3515" s="14">
        <f t="shared" si="68"/>
        <v>-500000</v>
      </c>
      <c r="H3515" s="118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2" t="s">
        <v>12275</v>
      </c>
    </row>
    <row r="3524" spans="1:8" x14ac:dyDescent="0.25">
      <c r="A3524" s="112">
        <v>45300</v>
      </c>
      <c r="B3524" s="21" t="s">
        <v>10220</v>
      </c>
      <c r="C3524" s="13" t="s">
        <v>8384</v>
      </c>
      <c r="D3524" s="764"/>
      <c r="E3524" s="22"/>
      <c r="F3524" s="19">
        <v>10470</v>
      </c>
      <c r="G3524" s="14">
        <f t="shared" si="69"/>
        <v>-10470</v>
      </c>
      <c r="H3524" s="1193"/>
    </row>
    <row r="3525" spans="1:8" x14ac:dyDescent="0.25">
      <c r="A3525" s="112">
        <v>45300</v>
      </c>
      <c r="B3525" s="21" t="s">
        <v>10564</v>
      </c>
      <c r="C3525" s="13" t="s">
        <v>8384</v>
      </c>
      <c r="D3525" s="764"/>
      <c r="E3525" s="22"/>
      <c r="F3525" s="19">
        <v>1347</v>
      </c>
      <c r="G3525" s="14">
        <f t="shared" si="69"/>
        <v>-1347</v>
      </c>
      <c r="H3525" s="1193"/>
    </row>
    <row r="3526" spans="1:8" x14ac:dyDescent="0.25">
      <c r="A3526" s="112">
        <v>45300</v>
      </c>
      <c r="B3526" s="21" t="s">
        <v>10890</v>
      </c>
      <c r="C3526" s="13" t="s">
        <v>8384</v>
      </c>
      <c r="D3526" s="764"/>
      <c r="E3526" s="22"/>
      <c r="F3526" s="19">
        <v>187415</v>
      </c>
      <c r="G3526" s="14">
        <f t="shared" si="69"/>
        <v>-187415</v>
      </c>
      <c r="H3526" s="1193"/>
    </row>
    <row r="3527" spans="1:8" x14ac:dyDescent="0.25">
      <c r="A3527" s="112">
        <v>45300</v>
      </c>
      <c r="B3527" s="21" t="s">
        <v>10986</v>
      </c>
      <c r="C3527" s="13" t="s">
        <v>8384</v>
      </c>
      <c r="D3527" s="764"/>
      <c r="E3527" s="22"/>
      <c r="F3527" s="19">
        <v>4390</v>
      </c>
      <c r="G3527" s="14">
        <f t="shared" si="69"/>
        <v>-4390</v>
      </c>
      <c r="H3527" s="1193"/>
    </row>
    <row r="3528" spans="1:8" x14ac:dyDescent="0.25">
      <c r="A3528" s="112">
        <v>45300</v>
      </c>
      <c r="B3528" s="21" t="s">
        <v>11054</v>
      </c>
      <c r="C3528" s="13" t="s">
        <v>8384</v>
      </c>
      <c r="D3528" s="764"/>
      <c r="E3528" s="22"/>
      <c r="F3528" s="19">
        <v>75122</v>
      </c>
      <c r="G3528" s="14">
        <f t="shared" si="69"/>
        <v>-75122</v>
      </c>
      <c r="H3528" s="1193"/>
    </row>
    <row r="3529" spans="1:8" x14ac:dyDescent="0.25">
      <c r="A3529" s="112">
        <v>45300</v>
      </c>
      <c r="B3529" s="21" t="s">
        <v>11423</v>
      </c>
      <c r="C3529" s="13" t="s">
        <v>8384</v>
      </c>
      <c r="D3529" s="764"/>
      <c r="E3529" s="22"/>
      <c r="F3529" s="19">
        <v>130168</v>
      </c>
      <c r="G3529" s="14">
        <f t="shared" si="69"/>
        <v>-130168</v>
      </c>
      <c r="H3529" s="1193"/>
    </row>
    <row r="3530" spans="1:8" x14ac:dyDescent="0.25">
      <c r="A3530" s="112">
        <v>45300</v>
      </c>
      <c r="B3530" s="21" t="s">
        <v>11249</v>
      </c>
      <c r="C3530" s="13" t="s">
        <v>8384</v>
      </c>
      <c r="D3530" s="764"/>
      <c r="E3530" s="22"/>
      <c r="F3530" s="19">
        <v>13416</v>
      </c>
      <c r="G3530" s="14">
        <f t="shared" si="69"/>
        <v>-13416</v>
      </c>
      <c r="H3530" s="1193"/>
    </row>
    <row r="3531" spans="1:8" x14ac:dyDescent="0.25">
      <c r="A3531" s="112">
        <v>45300</v>
      </c>
      <c r="B3531" s="21" t="s">
        <v>11685</v>
      </c>
      <c r="C3531" s="13" t="s">
        <v>8384</v>
      </c>
      <c r="D3531" s="764"/>
      <c r="E3531" s="22"/>
      <c r="F3531" s="19">
        <v>56173</v>
      </c>
      <c r="G3531" s="14">
        <f t="shared" si="69"/>
        <v>-56173</v>
      </c>
      <c r="H3531" s="1193"/>
    </row>
    <row r="3532" spans="1:8" x14ac:dyDescent="0.25">
      <c r="A3532" s="112">
        <v>45300</v>
      </c>
      <c r="B3532" s="21" t="s">
        <v>11488</v>
      </c>
      <c r="C3532" s="13" t="s">
        <v>8384</v>
      </c>
      <c r="D3532" s="764"/>
      <c r="E3532" s="22"/>
      <c r="F3532" s="19">
        <v>73043</v>
      </c>
      <c r="G3532" s="14">
        <f t="shared" si="69"/>
        <v>-73043</v>
      </c>
      <c r="H3532" s="1193"/>
    </row>
    <row r="3533" spans="1:8" x14ac:dyDescent="0.25">
      <c r="A3533" s="112">
        <v>45300</v>
      </c>
      <c r="B3533" s="21" t="s">
        <v>11586</v>
      </c>
      <c r="C3533" s="13" t="s">
        <v>8384</v>
      </c>
      <c r="D3533" s="764"/>
      <c r="E3533" s="22"/>
      <c r="F3533" s="19">
        <v>322676</v>
      </c>
      <c r="G3533" s="14">
        <f t="shared" si="69"/>
        <v>-322676</v>
      </c>
      <c r="H3533" s="1194"/>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6" t="s">
        <v>12247</v>
      </c>
    </row>
    <row r="3539" spans="1:8" x14ac:dyDescent="0.25">
      <c r="A3539" s="112">
        <v>45303</v>
      </c>
      <c r="B3539" s="21" t="s">
        <v>10284</v>
      </c>
      <c r="C3539" s="13" t="s">
        <v>168</v>
      </c>
      <c r="D3539" s="764"/>
      <c r="E3539" s="781"/>
      <c r="F3539" s="141">
        <v>8740</v>
      </c>
      <c r="G3539" s="782">
        <f t="shared" si="69"/>
        <v>-8740</v>
      </c>
      <c r="H3539" s="1187"/>
    </row>
    <row r="3540" spans="1:8" x14ac:dyDescent="0.25">
      <c r="A3540" s="112">
        <v>45303</v>
      </c>
      <c r="B3540" s="21" t="s">
        <v>10559</v>
      </c>
      <c r="C3540" s="13" t="s">
        <v>168</v>
      </c>
      <c r="D3540" s="764"/>
      <c r="E3540" s="781"/>
      <c r="F3540" s="141">
        <v>91300</v>
      </c>
      <c r="G3540" s="782">
        <f t="shared" si="69"/>
        <v>-91300</v>
      </c>
      <c r="H3540" s="1187"/>
    </row>
    <row r="3541" spans="1:8" x14ac:dyDescent="0.25">
      <c r="A3541" s="112">
        <v>45303</v>
      </c>
      <c r="B3541" s="21" t="s">
        <v>7801</v>
      </c>
      <c r="C3541" s="13" t="s">
        <v>168</v>
      </c>
      <c r="D3541" s="764"/>
      <c r="E3541" s="781"/>
      <c r="F3541" s="141">
        <v>10980</v>
      </c>
      <c r="G3541" s="782">
        <f t="shared" si="69"/>
        <v>-10980</v>
      </c>
      <c r="H3541" s="1187"/>
    </row>
    <row r="3542" spans="1:8" x14ac:dyDescent="0.25">
      <c r="A3542" s="112">
        <v>45303</v>
      </c>
      <c r="B3542" s="21" t="s">
        <v>10367</v>
      </c>
      <c r="C3542" s="13" t="s">
        <v>168</v>
      </c>
      <c r="D3542" s="764"/>
      <c r="E3542" s="781"/>
      <c r="F3542" s="141">
        <v>206520</v>
      </c>
      <c r="G3542" s="782">
        <f t="shared" si="69"/>
        <v>-206520</v>
      </c>
      <c r="H3542" s="1187"/>
    </row>
    <row r="3543" spans="1:8" x14ac:dyDescent="0.25">
      <c r="A3543" s="112">
        <v>45303</v>
      </c>
      <c r="B3543" s="21" t="s">
        <v>11249</v>
      </c>
      <c r="C3543" s="13" t="s">
        <v>168</v>
      </c>
      <c r="D3543" s="764"/>
      <c r="E3543" s="781"/>
      <c r="F3543" s="141">
        <v>19640</v>
      </c>
      <c r="G3543" s="782">
        <f t="shared" si="69"/>
        <v>-19640</v>
      </c>
      <c r="H3543" s="1187"/>
    </row>
    <row r="3544" spans="1:8" x14ac:dyDescent="0.25">
      <c r="A3544" s="112">
        <v>45303</v>
      </c>
      <c r="B3544" s="21" t="s">
        <v>10459</v>
      </c>
      <c r="C3544" s="13" t="s">
        <v>168</v>
      </c>
      <c r="D3544" s="764"/>
      <c r="E3544" s="781"/>
      <c r="F3544" s="141">
        <v>259118</v>
      </c>
      <c r="G3544" s="782">
        <f t="shared" si="69"/>
        <v>-259118</v>
      </c>
      <c r="H3544" s="1187"/>
    </row>
    <row r="3545" spans="1:8" ht="16.5" thickBot="1" x14ac:dyDescent="0.3">
      <c r="A3545" s="112">
        <v>45303</v>
      </c>
      <c r="B3545" s="21" t="s">
        <v>10564</v>
      </c>
      <c r="C3545" s="13" t="s">
        <v>168</v>
      </c>
      <c r="D3545" s="764"/>
      <c r="E3545" s="781"/>
      <c r="F3545" s="784">
        <v>5165</v>
      </c>
      <c r="G3545" s="782">
        <f t="shared" si="69"/>
        <v>-5165</v>
      </c>
      <c r="H3545" s="118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2" t="s">
        <v>13014</v>
      </c>
    </row>
    <row r="3560" spans="1:8" x14ac:dyDescent="0.25">
      <c r="A3560" s="112">
        <v>45310</v>
      </c>
      <c r="B3560" s="21" t="s">
        <v>8856</v>
      </c>
      <c r="C3560" s="13" t="s">
        <v>5186</v>
      </c>
      <c r="D3560" s="764"/>
      <c r="E3560" s="22"/>
      <c r="F3560" s="19">
        <v>200000</v>
      </c>
      <c r="G3560" s="14">
        <f t="shared" si="68"/>
        <v>-200000</v>
      </c>
      <c r="H3560" s="1194"/>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99" t="s">
        <v>13007</v>
      </c>
    </row>
    <row r="3607" spans="1:8" x14ac:dyDescent="0.25">
      <c r="A3607" s="112">
        <v>45322</v>
      </c>
      <c r="B3607" s="21" t="s">
        <v>10564</v>
      </c>
      <c r="C3607" s="13" t="s">
        <v>169</v>
      </c>
      <c r="D3607" s="764"/>
      <c r="E3607" s="22"/>
      <c r="F3607" s="19">
        <v>200000</v>
      </c>
      <c r="G3607" s="14">
        <f t="shared" si="70"/>
        <v>-200000</v>
      </c>
      <c r="H3607" s="120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6" t="s">
        <v>12544</v>
      </c>
    </row>
    <row r="3648" spans="1:8" x14ac:dyDescent="0.25">
      <c r="A3648" s="112">
        <v>45346</v>
      </c>
      <c r="B3648" s="21" t="s">
        <v>10890</v>
      </c>
      <c r="C3648" s="13" t="s">
        <v>180</v>
      </c>
      <c r="D3648" s="764"/>
      <c r="E3648" s="781"/>
      <c r="F3648" s="141">
        <v>164280</v>
      </c>
      <c r="G3648" s="782">
        <f t="shared" si="70"/>
        <v>-164280</v>
      </c>
      <c r="H3648" s="1187"/>
    </row>
    <row r="3649" spans="1:8" x14ac:dyDescent="0.25">
      <c r="A3649" s="112">
        <v>45346</v>
      </c>
      <c r="B3649" s="21" t="s">
        <v>11586</v>
      </c>
      <c r="C3649" s="13" t="s">
        <v>180</v>
      </c>
      <c r="D3649" s="764"/>
      <c r="E3649" s="781"/>
      <c r="F3649" s="141">
        <v>145230</v>
      </c>
      <c r="G3649" s="782">
        <f t="shared" si="70"/>
        <v>-145230</v>
      </c>
      <c r="H3649" s="1187"/>
    </row>
    <row r="3650" spans="1:8" ht="16.5" thickBot="1" x14ac:dyDescent="0.3">
      <c r="A3650" s="112">
        <v>45346</v>
      </c>
      <c r="B3650" s="21" t="s">
        <v>11864</v>
      </c>
      <c r="C3650" s="13" t="s">
        <v>180</v>
      </c>
      <c r="D3650" s="764"/>
      <c r="E3650" s="781"/>
      <c r="F3650" s="784">
        <v>176730</v>
      </c>
      <c r="G3650" s="782">
        <f t="shared" si="70"/>
        <v>-176730</v>
      </c>
      <c r="H3650" s="118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2" t="s">
        <v>13011</v>
      </c>
    </row>
    <row r="3687" spans="1:8" x14ac:dyDescent="0.25">
      <c r="A3687" s="112">
        <v>45369</v>
      </c>
      <c r="B3687" s="21" t="s">
        <v>12328</v>
      </c>
      <c r="C3687" s="13" t="s">
        <v>8384</v>
      </c>
      <c r="D3687" s="764"/>
      <c r="E3687" s="22"/>
      <c r="F3687" s="19">
        <v>900000</v>
      </c>
      <c r="G3687" s="14">
        <f t="shared" ref="G3687" si="73">E3687-F3687</f>
        <v>-900000</v>
      </c>
      <c r="H3687" s="1194"/>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6" t="s">
        <v>13013</v>
      </c>
    </row>
    <row r="3717" spans="1:8" x14ac:dyDescent="0.25">
      <c r="A3717" s="112">
        <v>45416</v>
      </c>
      <c r="B3717" s="21" t="s">
        <v>8547</v>
      </c>
      <c r="C3717" s="13" t="s">
        <v>8384</v>
      </c>
      <c r="D3717" s="764"/>
      <c r="E3717" s="781"/>
      <c r="F3717" s="141">
        <v>74242</v>
      </c>
      <c r="G3717" s="782">
        <f t="shared" ref="G3717:G3722" si="75">E3717-F3717</f>
        <v>-74242</v>
      </c>
      <c r="H3717" s="1187"/>
    </row>
    <row r="3718" spans="1:8" x14ac:dyDescent="0.25">
      <c r="A3718" s="112">
        <v>45416</v>
      </c>
      <c r="B3718" s="21" t="s">
        <v>10890</v>
      </c>
      <c r="C3718" s="13" t="s">
        <v>8384</v>
      </c>
      <c r="D3718" s="764"/>
      <c r="E3718" s="781"/>
      <c r="F3718" s="141">
        <v>20637</v>
      </c>
      <c r="G3718" s="782">
        <f t="shared" si="75"/>
        <v>-20637</v>
      </c>
      <c r="H3718" s="1187"/>
    </row>
    <row r="3719" spans="1:8" x14ac:dyDescent="0.25">
      <c r="A3719" s="112">
        <v>45416</v>
      </c>
      <c r="B3719" s="21" t="s">
        <v>11685</v>
      </c>
      <c r="C3719" s="13" t="s">
        <v>8384</v>
      </c>
      <c r="D3719" s="764"/>
      <c r="E3719" s="781"/>
      <c r="F3719" s="141">
        <v>6768</v>
      </c>
      <c r="G3719" s="782">
        <f t="shared" si="75"/>
        <v>-6768</v>
      </c>
      <c r="H3719" s="1187"/>
    </row>
    <row r="3720" spans="1:8" x14ac:dyDescent="0.25">
      <c r="A3720" s="112">
        <v>45416</v>
      </c>
      <c r="B3720" s="21" t="s">
        <v>11586</v>
      </c>
      <c r="C3720" s="13" t="s">
        <v>8384</v>
      </c>
      <c r="D3720" s="764"/>
      <c r="E3720" s="781"/>
      <c r="F3720" s="141">
        <v>25632</v>
      </c>
      <c r="G3720" s="782">
        <f t="shared" si="75"/>
        <v>-25632</v>
      </c>
      <c r="H3720" s="1187"/>
    </row>
    <row r="3721" spans="1:8" x14ac:dyDescent="0.25">
      <c r="A3721" s="112">
        <v>45416</v>
      </c>
      <c r="B3721" s="21" t="s">
        <v>12774</v>
      </c>
      <c r="C3721" s="13" t="s">
        <v>8384</v>
      </c>
      <c r="D3721" s="764"/>
      <c r="E3721" s="781"/>
      <c r="F3721" s="141">
        <v>153139</v>
      </c>
      <c r="G3721" s="782">
        <f t="shared" si="75"/>
        <v>-153139</v>
      </c>
      <c r="H3721" s="1187"/>
    </row>
    <row r="3722" spans="1:8" ht="16.5" thickBot="1" x14ac:dyDescent="0.3">
      <c r="A3722" s="112">
        <v>45416</v>
      </c>
      <c r="B3722" s="21" t="s">
        <v>11707</v>
      </c>
      <c r="C3722" s="13" t="s">
        <v>8384</v>
      </c>
      <c r="D3722" s="764"/>
      <c r="E3722" s="781"/>
      <c r="F3722" s="784">
        <v>56962</v>
      </c>
      <c r="G3722" s="782">
        <f t="shared" si="75"/>
        <v>-56962</v>
      </c>
      <c r="H3722" s="1188"/>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2" t="s">
        <v>13009</v>
      </c>
    </row>
    <row r="3726" spans="1:8" x14ac:dyDescent="0.25">
      <c r="A3726" s="112">
        <v>45418</v>
      </c>
      <c r="B3726" s="21" t="s">
        <v>10564</v>
      </c>
      <c r="C3726" s="13" t="s">
        <v>169</v>
      </c>
      <c r="D3726" s="764"/>
      <c r="E3726" s="781"/>
      <c r="F3726" s="141">
        <v>46500</v>
      </c>
      <c r="G3726" s="782">
        <f t="shared" si="74"/>
        <v>-46500</v>
      </c>
      <c r="H3726" s="1193"/>
    </row>
    <row r="3727" spans="1:8" x14ac:dyDescent="0.25">
      <c r="A3727" s="112">
        <v>45418</v>
      </c>
      <c r="B3727" s="21" t="s">
        <v>10890</v>
      </c>
      <c r="C3727" s="13" t="s">
        <v>169</v>
      </c>
      <c r="D3727" s="764"/>
      <c r="E3727" s="781"/>
      <c r="F3727" s="141">
        <v>80500</v>
      </c>
      <c r="G3727" s="782">
        <f t="shared" si="74"/>
        <v>-80500</v>
      </c>
      <c r="H3727" s="1193"/>
    </row>
    <row r="3728" spans="1:8" ht="16.5" thickBot="1" x14ac:dyDescent="0.3">
      <c r="A3728" s="112">
        <v>45418</v>
      </c>
      <c r="B3728" s="21" t="s">
        <v>11864</v>
      </c>
      <c r="C3728" s="13" t="s">
        <v>169</v>
      </c>
      <c r="D3728" s="764"/>
      <c r="E3728" s="781"/>
      <c r="F3728" s="784">
        <v>157650</v>
      </c>
      <c r="G3728" s="782">
        <f t="shared" si="74"/>
        <v>-157650</v>
      </c>
      <c r="H3728" s="1194"/>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6" t="s">
        <v>13275</v>
      </c>
    </row>
    <row r="3752" spans="1:8" x14ac:dyDescent="0.25">
      <c r="A3752" s="112">
        <v>45432</v>
      </c>
      <c r="B3752" s="21" t="s">
        <v>11864</v>
      </c>
      <c r="C3752" s="13" t="s">
        <v>180</v>
      </c>
      <c r="D3752" s="764"/>
      <c r="E3752" s="22"/>
      <c r="F3752" s="19">
        <v>48390</v>
      </c>
      <c r="G3752" s="14">
        <f t="shared" si="74"/>
        <v>-48390</v>
      </c>
      <c r="H3752" s="1187"/>
    </row>
    <row r="3753" spans="1:8" x14ac:dyDescent="0.25">
      <c r="A3753" s="112">
        <v>45432</v>
      </c>
      <c r="B3753" s="21" t="s">
        <v>12171</v>
      </c>
      <c r="C3753" s="13" t="s">
        <v>180</v>
      </c>
      <c r="D3753" s="764"/>
      <c r="E3753" s="22"/>
      <c r="F3753" s="19">
        <v>90710</v>
      </c>
      <c r="G3753" s="14">
        <f t="shared" si="74"/>
        <v>-90710</v>
      </c>
      <c r="H3753" s="1188"/>
    </row>
    <row r="3754" spans="1:8" x14ac:dyDescent="0.25">
      <c r="A3754" s="112">
        <v>45436</v>
      </c>
      <c r="B3754" s="21" t="s">
        <v>9820</v>
      </c>
      <c r="C3754" s="13" t="s">
        <v>166</v>
      </c>
      <c r="D3754" s="764"/>
      <c r="E3754" s="22"/>
      <c r="F3754" s="19">
        <v>90000</v>
      </c>
      <c r="G3754" s="14">
        <f t="shared" si="74"/>
        <v>-90000</v>
      </c>
      <c r="H3754" s="1186" t="s">
        <v>13139</v>
      </c>
    </row>
    <row r="3755" spans="1:8" x14ac:dyDescent="0.25">
      <c r="A3755" s="112">
        <v>45436</v>
      </c>
      <c r="B3755" s="21" t="s">
        <v>11488</v>
      </c>
      <c r="C3755" s="13" t="s">
        <v>166</v>
      </c>
      <c r="D3755" s="764"/>
      <c r="E3755" s="22"/>
      <c r="F3755" s="19">
        <v>10000</v>
      </c>
      <c r="G3755" s="14">
        <f t="shared" si="74"/>
        <v>-10000</v>
      </c>
      <c r="H3755" s="1187"/>
    </row>
    <row r="3756" spans="1:8" x14ac:dyDescent="0.25">
      <c r="A3756" s="112">
        <v>45436</v>
      </c>
      <c r="B3756" s="21" t="s">
        <v>13278</v>
      </c>
      <c r="C3756" s="13" t="s">
        <v>166</v>
      </c>
      <c r="D3756" s="764"/>
      <c r="E3756" s="22"/>
      <c r="F3756" s="19">
        <v>200000</v>
      </c>
      <c r="G3756" s="14">
        <f t="shared" si="74"/>
        <v>-200000</v>
      </c>
      <c r="H3756" s="1188"/>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88" t="s">
        <v>13119</v>
      </c>
    </row>
    <row r="3764" spans="1:8" x14ac:dyDescent="0.25">
      <c r="A3764" s="112">
        <v>45441</v>
      </c>
      <c r="B3764" s="21" t="s">
        <v>11864</v>
      </c>
      <c r="C3764" s="13" t="s">
        <v>13116</v>
      </c>
      <c r="D3764" s="764"/>
      <c r="E3764" s="22"/>
      <c r="F3764" s="19">
        <v>400000</v>
      </c>
      <c r="G3764" s="14">
        <f t="shared" si="74"/>
        <v>-400000</v>
      </c>
      <c r="H3764" s="1289"/>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2" t="s">
        <v>13188</v>
      </c>
    </row>
    <row r="3771" spans="1:8" x14ac:dyDescent="0.25">
      <c r="A3771" s="112">
        <v>45447</v>
      </c>
      <c r="B3771" s="21" t="s">
        <v>13098</v>
      </c>
      <c r="C3771" s="13" t="s">
        <v>5186</v>
      </c>
      <c r="D3771" s="764"/>
      <c r="E3771" s="22"/>
      <c r="F3771" s="19">
        <v>250000</v>
      </c>
      <c r="G3771" s="14">
        <f t="shared" si="74"/>
        <v>-250000</v>
      </c>
      <c r="H3771" s="1194"/>
    </row>
    <row r="3772" spans="1:8" x14ac:dyDescent="0.25">
      <c r="A3772" s="112">
        <v>45453</v>
      </c>
      <c r="B3772" s="21" t="s">
        <v>9820</v>
      </c>
      <c r="C3772" s="13" t="s">
        <v>8384</v>
      </c>
      <c r="D3772" s="764"/>
      <c r="E3772" s="22"/>
      <c r="F3772" s="19">
        <v>250000</v>
      </c>
      <c r="G3772" s="14">
        <f t="shared" si="74"/>
        <v>-250000</v>
      </c>
      <c r="H3772" s="1186" t="s">
        <v>13013</v>
      </c>
    </row>
    <row r="3773" spans="1:8" x14ac:dyDescent="0.25">
      <c r="A3773" s="112">
        <v>45453</v>
      </c>
      <c r="B3773" s="21" t="s">
        <v>11488</v>
      </c>
      <c r="C3773" s="13" t="s">
        <v>8384</v>
      </c>
      <c r="D3773" s="764"/>
      <c r="E3773" s="22"/>
      <c r="F3773" s="19">
        <v>250000</v>
      </c>
      <c r="G3773" s="14">
        <f t="shared" si="74"/>
        <v>-250000</v>
      </c>
      <c r="H3773" s="1188"/>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2" t="s">
        <v>14460</v>
      </c>
    </row>
    <row r="3776" spans="1:8" x14ac:dyDescent="0.25">
      <c r="A3776" s="112">
        <v>45454</v>
      </c>
      <c r="B3776" s="21" t="s">
        <v>12388</v>
      </c>
      <c r="C3776" s="13" t="s">
        <v>7947</v>
      </c>
      <c r="D3776" s="764"/>
      <c r="E3776" s="781"/>
      <c r="F3776" s="19">
        <v>1000000</v>
      </c>
      <c r="G3776" s="782">
        <f t="shared" si="80"/>
        <v>-1000000</v>
      </c>
      <c r="H3776" s="1194"/>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195" t="s">
        <v>13262</v>
      </c>
    </row>
    <row r="3781" spans="1:8" x14ac:dyDescent="0.25">
      <c r="A3781" s="112">
        <v>45456</v>
      </c>
      <c r="B3781" s="21" t="s">
        <v>6503</v>
      </c>
      <c r="C3781" s="13" t="s">
        <v>164</v>
      </c>
      <c r="D3781" s="764"/>
      <c r="E3781" s="22"/>
      <c r="F3781" s="19">
        <v>9034</v>
      </c>
      <c r="G3781" s="782">
        <f t="shared" si="80"/>
        <v>-9034</v>
      </c>
      <c r="H3781" s="1196"/>
    </row>
    <row r="3782" spans="1:8" x14ac:dyDescent="0.25">
      <c r="A3782" s="112">
        <v>45456</v>
      </c>
      <c r="B3782" s="21" t="s">
        <v>8547</v>
      </c>
      <c r="C3782" s="13" t="s">
        <v>164</v>
      </c>
      <c r="D3782" s="764"/>
      <c r="E3782" s="22"/>
      <c r="F3782" s="19">
        <v>5194</v>
      </c>
      <c r="G3782" s="782">
        <f t="shared" si="80"/>
        <v>-5194</v>
      </c>
      <c r="H3782" s="1196"/>
    </row>
    <row r="3783" spans="1:8" x14ac:dyDescent="0.25">
      <c r="A3783" s="112">
        <v>45456</v>
      </c>
      <c r="B3783" s="21" t="s">
        <v>11068</v>
      </c>
      <c r="C3783" s="13" t="s">
        <v>164</v>
      </c>
      <c r="D3783" s="764"/>
      <c r="E3783" s="22"/>
      <c r="F3783" s="19">
        <v>81179</v>
      </c>
      <c r="G3783" s="782">
        <f t="shared" si="80"/>
        <v>-81179</v>
      </c>
      <c r="H3783" s="1196"/>
    </row>
    <row r="3784" spans="1:8" x14ac:dyDescent="0.25">
      <c r="A3784" s="112">
        <v>45456</v>
      </c>
      <c r="B3784" s="21" t="s">
        <v>10220</v>
      </c>
      <c r="C3784" s="13" t="s">
        <v>164</v>
      </c>
      <c r="D3784" s="764"/>
      <c r="E3784" s="22"/>
      <c r="F3784" s="19">
        <v>21030</v>
      </c>
      <c r="G3784" s="782">
        <f t="shared" si="80"/>
        <v>-21030</v>
      </c>
      <c r="H3784" s="1196"/>
    </row>
    <row r="3785" spans="1:8" x14ac:dyDescent="0.25">
      <c r="A3785" s="112">
        <v>45456</v>
      </c>
      <c r="B3785" s="21" t="s">
        <v>10890</v>
      </c>
      <c r="C3785" s="13" t="s">
        <v>164</v>
      </c>
      <c r="D3785" s="764"/>
      <c r="E3785" s="22"/>
      <c r="F3785" s="19">
        <v>5434</v>
      </c>
      <c r="G3785" s="782">
        <f t="shared" si="80"/>
        <v>-5434</v>
      </c>
      <c r="H3785" s="1196"/>
    </row>
    <row r="3786" spans="1:8" x14ac:dyDescent="0.25">
      <c r="A3786" s="112">
        <v>45456</v>
      </c>
      <c r="B3786" s="21" t="s">
        <v>11586</v>
      </c>
      <c r="C3786" s="13" t="s">
        <v>164</v>
      </c>
      <c r="D3786" s="764"/>
      <c r="E3786" s="22"/>
      <c r="F3786" s="19">
        <v>10407</v>
      </c>
      <c r="G3786" s="782">
        <f t="shared" si="80"/>
        <v>-10407</v>
      </c>
      <c r="H3786" s="1196"/>
    </row>
    <row r="3787" spans="1:8" x14ac:dyDescent="0.25">
      <c r="A3787" s="112">
        <v>45456</v>
      </c>
      <c r="B3787" s="21" t="s">
        <v>11488</v>
      </c>
      <c r="C3787" s="13" t="s">
        <v>164</v>
      </c>
      <c r="D3787" s="764"/>
      <c r="E3787" s="22"/>
      <c r="F3787" s="19">
        <v>43136</v>
      </c>
      <c r="G3787" s="782">
        <f t="shared" si="80"/>
        <v>-43136</v>
      </c>
      <c r="H3787" s="1196"/>
    </row>
    <row r="3788" spans="1:8" x14ac:dyDescent="0.25">
      <c r="A3788" s="112">
        <v>45456</v>
      </c>
      <c r="B3788" s="21" t="s">
        <v>12171</v>
      </c>
      <c r="C3788" s="13" t="s">
        <v>164</v>
      </c>
      <c r="D3788" s="764"/>
      <c r="E3788" s="22"/>
      <c r="F3788" s="19">
        <v>2016</v>
      </c>
      <c r="G3788" s="782">
        <f t="shared" si="80"/>
        <v>-2016</v>
      </c>
      <c r="H3788" s="1196"/>
    </row>
    <row r="3789" spans="1:8" x14ac:dyDescent="0.25">
      <c r="A3789" s="112">
        <v>45456</v>
      </c>
      <c r="B3789" s="21" t="s">
        <v>12388</v>
      </c>
      <c r="C3789" s="13" t="s">
        <v>164</v>
      </c>
      <c r="D3789" s="764"/>
      <c r="E3789" s="22"/>
      <c r="F3789" s="19">
        <v>387</v>
      </c>
      <c r="G3789" s="782">
        <f t="shared" si="80"/>
        <v>-387</v>
      </c>
      <c r="H3789" s="1197"/>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6" t="s">
        <v>13336</v>
      </c>
    </row>
    <row r="3800" spans="1:8" x14ac:dyDescent="0.25">
      <c r="A3800" s="112">
        <v>45470</v>
      </c>
      <c r="B3800" s="21" t="s">
        <v>11864</v>
      </c>
      <c r="C3800" s="13" t="s">
        <v>8384</v>
      </c>
      <c r="D3800" s="764"/>
      <c r="E3800" s="22"/>
      <c r="F3800" s="19">
        <v>214017</v>
      </c>
      <c r="G3800" s="14">
        <f t="shared" si="80"/>
        <v>-214017</v>
      </c>
      <c r="H3800" s="1187"/>
    </row>
    <row r="3801" spans="1:8" ht="16.5" thickBot="1" x14ac:dyDescent="0.3">
      <c r="A3801" s="112">
        <v>45470</v>
      </c>
      <c r="B3801" s="21" t="s">
        <v>12171</v>
      </c>
      <c r="C3801" s="13" t="s">
        <v>8384</v>
      </c>
      <c r="D3801" s="764"/>
      <c r="E3801" s="22"/>
      <c r="F3801" s="109">
        <v>231690</v>
      </c>
      <c r="G3801" s="14">
        <f t="shared" si="80"/>
        <v>-231690</v>
      </c>
      <c r="H3801" s="1188"/>
    </row>
    <row r="3802" spans="1:8" x14ac:dyDescent="0.25">
      <c r="A3802" s="112">
        <v>45471</v>
      </c>
      <c r="B3802" s="21" t="s">
        <v>8547</v>
      </c>
      <c r="C3802" s="13" t="s">
        <v>7465</v>
      </c>
      <c r="D3802" s="764"/>
      <c r="E3802" s="781"/>
      <c r="F3802" s="783">
        <v>197307</v>
      </c>
      <c r="G3802" s="782">
        <f t="shared" si="80"/>
        <v>-197307</v>
      </c>
      <c r="H3802" s="1192" t="s">
        <v>13341</v>
      </c>
    </row>
    <row r="3803" spans="1:8" x14ac:dyDescent="0.25">
      <c r="A3803" s="112">
        <v>45471</v>
      </c>
      <c r="B3803" s="21" t="s">
        <v>11068</v>
      </c>
      <c r="C3803" s="13" t="s">
        <v>7465</v>
      </c>
      <c r="D3803" s="764"/>
      <c r="E3803" s="781"/>
      <c r="F3803" s="141">
        <v>43808</v>
      </c>
      <c r="G3803" s="782">
        <f t="shared" si="80"/>
        <v>-43808</v>
      </c>
      <c r="H3803" s="1193"/>
    </row>
    <row r="3804" spans="1:8" x14ac:dyDescent="0.25">
      <c r="A3804" s="112">
        <v>45471</v>
      </c>
      <c r="B3804" s="21" t="s">
        <v>10220</v>
      </c>
      <c r="C3804" s="13" t="s">
        <v>7465</v>
      </c>
      <c r="D3804" s="764"/>
      <c r="E3804" s="781"/>
      <c r="F3804" s="141">
        <v>203105</v>
      </c>
      <c r="G3804" s="782">
        <f t="shared" si="80"/>
        <v>-203105</v>
      </c>
      <c r="H3804" s="1193"/>
    </row>
    <row r="3805" spans="1:8" x14ac:dyDescent="0.25">
      <c r="A3805" s="112">
        <v>45471</v>
      </c>
      <c r="B3805" s="21" t="s">
        <v>12783</v>
      </c>
      <c r="C3805" s="13" t="s">
        <v>7465</v>
      </c>
      <c r="D3805" s="764"/>
      <c r="E3805" s="781"/>
      <c r="F3805" s="141">
        <v>49280</v>
      </c>
      <c r="G3805" s="782">
        <f t="shared" si="80"/>
        <v>-49280</v>
      </c>
      <c r="H3805" s="1193"/>
    </row>
    <row r="3806" spans="1:8" ht="16.5" thickBot="1" x14ac:dyDescent="0.3">
      <c r="A3806" s="112">
        <v>45471</v>
      </c>
      <c r="B3806" s="21" t="s">
        <v>13213</v>
      </c>
      <c r="C3806" s="13" t="s">
        <v>7465</v>
      </c>
      <c r="D3806" s="764"/>
      <c r="E3806" s="781"/>
      <c r="F3806" s="784">
        <v>6500</v>
      </c>
      <c r="G3806" s="782">
        <f t="shared" si="80"/>
        <v>-6500</v>
      </c>
      <c r="H3806" s="1193"/>
    </row>
    <row r="3807" spans="1:8" x14ac:dyDescent="0.25">
      <c r="A3807" s="112">
        <v>45472</v>
      </c>
      <c r="B3807" s="21" t="s">
        <v>9344</v>
      </c>
      <c r="C3807" s="13" t="s">
        <v>1062</v>
      </c>
      <c r="D3807" s="764"/>
      <c r="E3807" s="22"/>
      <c r="F3807" s="111">
        <v>100000</v>
      </c>
      <c r="G3807" s="14">
        <f t="shared" si="80"/>
        <v>-100000</v>
      </c>
      <c r="H3807" s="1186" t="s">
        <v>13007</v>
      </c>
    </row>
    <row r="3808" spans="1:8" x14ac:dyDescent="0.25">
      <c r="A3808" s="112">
        <v>45472</v>
      </c>
      <c r="B3808" s="21" t="s">
        <v>12388</v>
      </c>
      <c r="C3808" s="13" t="s">
        <v>1062</v>
      </c>
      <c r="D3808" s="764"/>
      <c r="E3808" s="22"/>
      <c r="F3808" s="19">
        <v>200000</v>
      </c>
      <c r="G3808" s="14">
        <f t="shared" si="80"/>
        <v>-200000</v>
      </c>
      <c r="H3808" s="1188"/>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2" t="s">
        <v>13421</v>
      </c>
    </row>
    <row r="3824" spans="1:8" x14ac:dyDescent="0.25">
      <c r="A3824" s="112">
        <v>45478</v>
      </c>
      <c r="B3824" s="21" t="s">
        <v>11068</v>
      </c>
      <c r="C3824" s="13" t="s">
        <v>8384</v>
      </c>
      <c r="D3824" s="764"/>
      <c r="E3824" s="781"/>
      <c r="F3824" s="141">
        <v>24451</v>
      </c>
      <c r="G3824" s="782">
        <f t="shared" si="83"/>
        <v>-24451</v>
      </c>
      <c r="H3824" s="1193"/>
    </row>
    <row r="3825" spans="1:8" x14ac:dyDescent="0.25">
      <c r="A3825" s="112">
        <v>45478</v>
      </c>
      <c r="B3825" s="21" t="s">
        <v>11488</v>
      </c>
      <c r="C3825" s="13" t="s">
        <v>8384</v>
      </c>
      <c r="D3825" s="764"/>
      <c r="E3825" s="781"/>
      <c r="F3825" s="141">
        <v>37853</v>
      </c>
      <c r="G3825" s="782">
        <f t="shared" si="83"/>
        <v>-37853</v>
      </c>
      <c r="H3825" s="1193"/>
    </row>
    <row r="3826" spans="1:8" x14ac:dyDescent="0.25">
      <c r="A3826" s="112">
        <v>45478</v>
      </c>
      <c r="B3826" s="21" t="s">
        <v>12171</v>
      </c>
      <c r="C3826" s="13" t="s">
        <v>8384</v>
      </c>
      <c r="D3826" s="764"/>
      <c r="E3826" s="781"/>
      <c r="F3826" s="141">
        <v>261620</v>
      </c>
      <c r="G3826" s="782">
        <f t="shared" si="83"/>
        <v>-261620</v>
      </c>
      <c r="H3826" s="1193"/>
    </row>
    <row r="3827" spans="1:8" x14ac:dyDescent="0.25">
      <c r="A3827" s="112">
        <v>45478</v>
      </c>
      <c r="B3827" s="21" t="s">
        <v>13098</v>
      </c>
      <c r="C3827" s="13" t="s">
        <v>8384</v>
      </c>
      <c r="D3827" s="764"/>
      <c r="E3827" s="781"/>
      <c r="F3827" s="141">
        <v>69112</v>
      </c>
      <c r="G3827" s="782">
        <f t="shared" si="83"/>
        <v>-69112</v>
      </c>
      <c r="H3827" s="1193"/>
    </row>
    <row r="3828" spans="1:8" x14ac:dyDescent="0.25">
      <c r="A3828" s="112">
        <v>45478</v>
      </c>
      <c r="B3828" s="21" t="s">
        <v>13240</v>
      </c>
      <c r="C3828" s="13" t="s">
        <v>8384</v>
      </c>
      <c r="D3828" s="764"/>
      <c r="E3828" s="781"/>
      <c r="F3828" s="141">
        <v>195823</v>
      </c>
      <c r="G3828" s="782">
        <f t="shared" si="83"/>
        <v>-195823</v>
      </c>
      <c r="H3828" s="1193"/>
    </row>
    <row r="3829" spans="1:8" ht="16.5" thickBot="1" x14ac:dyDescent="0.3">
      <c r="A3829" s="112">
        <v>45478</v>
      </c>
      <c r="B3829" s="40" t="s">
        <v>13098</v>
      </c>
      <c r="C3829" s="13" t="s">
        <v>8384</v>
      </c>
      <c r="D3829" s="764"/>
      <c r="E3829" s="781"/>
      <c r="F3829" s="784">
        <v>331043</v>
      </c>
      <c r="G3829" s="782">
        <f t="shared" si="83"/>
        <v>-331043</v>
      </c>
      <c r="H3829" s="1194"/>
    </row>
    <row r="3830" spans="1:8" x14ac:dyDescent="0.25">
      <c r="A3830" s="112">
        <v>45479</v>
      </c>
      <c r="B3830" s="21" t="s">
        <v>12171</v>
      </c>
      <c r="C3830" s="13" t="s">
        <v>8384</v>
      </c>
      <c r="D3830" s="764"/>
      <c r="E3830" s="781"/>
      <c r="F3830" s="783">
        <v>235968</v>
      </c>
      <c r="G3830" s="782">
        <f t="shared" si="83"/>
        <v>-235968</v>
      </c>
      <c r="H3830" s="1192" t="s">
        <v>13422</v>
      </c>
    </row>
    <row r="3831" spans="1:8" x14ac:dyDescent="0.25">
      <c r="A3831" s="112">
        <v>45479</v>
      </c>
      <c r="B3831" s="21" t="s">
        <v>13098</v>
      </c>
      <c r="C3831" s="13" t="s">
        <v>8384</v>
      </c>
      <c r="D3831" s="764"/>
      <c r="E3831" s="781"/>
      <c r="F3831" s="141">
        <v>319738</v>
      </c>
      <c r="G3831" s="782">
        <f t="shared" si="83"/>
        <v>-319738</v>
      </c>
      <c r="H3831" s="1193"/>
    </row>
    <row r="3832" spans="1:8" x14ac:dyDescent="0.25">
      <c r="A3832" s="112">
        <v>45479</v>
      </c>
      <c r="B3832" s="21" t="s">
        <v>13165</v>
      </c>
      <c r="C3832" s="13" t="s">
        <v>8384</v>
      </c>
      <c r="D3832" s="764"/>
      <c r="E3832" s="781"/>
      <c r="F3832" s="141">
        <v>120070</v>
      </c>
      <c r="G3832" s="782">
        <f t="shared" si="83"/>
        <v>-120070</v>
      </c>
      <c r="H3832" s="1193"/>
    </row>
    <row r="3833" spans="1:8" x14ac:dyDescent="0.25">
      <c r="A3833" s="112">
        <v>45479</v>
      </c>
      <c r="B3833" s="21" t="s">
        <v>13453</v>
      </c>
      <c r="C3833" s="13" t="s">
        <v>8384</v>
      </c>
      <c r="D3833" s="764"/>
      <c r="E3833" s="781"/>
      <c r="F3833" s="141">
        <v>260520</v>
      </c>
      <c r="G3833" s="782">
        <f t="shared" si="83"/>
        <v>-260520</v>
      </c>
      <c r="H3833" s="1193"/>
    </row>
    <row r="3834" spans="1:8" ht="16.5" thickBot="1" x14ac:dyDescent="0.3">
      <c r="A3834" s="112">
        <v>45479</v>
      </c>
      <c r="B3834" s="21" t="s">
        <v>12171</v>
      </c>
      <c r="C3834" s="13" t="s">
        <v>8384</v>
      </c>
      <c r="D3834" s="764"/>
      <c r="E3834" s="781"/>
      <c r="F3834" s="784">
        <v>13344</v>
      </c>
      <c r="G3834" s="782">
        <f t="shared" si="83"/>
        <v>-13344</v>
      </c>
      <c r="H3834" s="1194"/>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6" t="s">
        <v>14458</v>
      </c>
    </row>
    <row r="3849" spans="1:8" ht="17.25" customHeight="1" x14ac:dyDescent="0.25">
      <c r="A3849" s="112">
        <v>45485</v>
      </c>
      <c r="B3849" s="21" t="s">
        <v>13240</v>
      </c>
      <c r="C3849" s="13" t="s">
        <v>7947</v>
      </c>
      <c r="D3849" s="764"/>
      <c r="E3849" s="22"/>
      <c r="F3849" s="111">
        <v>522000</v>
      </c>
      <c r="G3849" s="14">
        <f t="shared" si="84"/>
        <v>-522000</v>
      </c>
      <c r="H3849" s="1187"/>
    </row>
    <row r="3850" spans="1:8" ht="17.25" customHeight="1" x14ac:dyDescent="0.25">
      <c r="A3850" s="112">
        <v>45485</v>
      </c>
      <c r="B3850" s="21" t="s">
        <v>12388</v>
      </c>
      <c r="C3850" s="13" t="s">
        <v>7947</v>
      </c>
      <c r="D3850" s="764"/>
      <c r="E3850" s="22"/>
      <c r="F3850" s="111">
        <v>203003</v>
      </c>
      <c r="G3850" s="14">
        <f t="shared" si="84"/>
        <v>-203003</v>
      </c>
      <c r="H3850" s="1188"/>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6" t="s">
        <v>13586</v>
      </c>
    </row>
    <row r="3876" spans="1:8" x14ac:dyDescent="0.25">
      <c r="A3876" s="112">
        <v>45495</v>
      </c>
      <c r="B3876" s="21" t="s">
        <v>8864</v>
      </c>
      <c r="C3876" s="13" t="s">
        <v>1062</v>
      </c>
      <c r="D3876" s="764"/>
      <c r="E3876" s="22"/>
      <c r="F3876" s="19">
        <v>13000</v>
      </c>
      <c r="G3876" s="14">
        <f t="shared" si="86"/>
        <v>-13000</v>
      </c>
      <c r="H3876" s="1187"/>
    </row>
    <row r="3877" spans="1:8" x14ac:dyDescent="0.25">
      <c r="A3877" s="112">
        <v>45495</v>
      </c>
      <c r="B3877" s="21" t="s">
        <v>9344</v>
      </c>
      <c r="C3877" s="13" t="s">
        <v>1062</v>
      </c>
      <c r="D3877" s="764"/>
      <c r="E3877" s="22"/>
      <c r="F3877" s="19">
        <v>5000</v>
      </c>
      <c r="G3877" s="14">
        <f t="shared" si="86"/>
        <v>-5000</v>
      </c>
      <c r="H3877" s="1187"/>
    </row>
    <row r="3878" spans="1:8" x14ac:dyDescent="0.25">
      <c r="A3878" s="112">
        <v>45495</v>
      </c>
      <c r="B3878" s="21" t="s">
        <v>12388</v>
      </c>
      <c r="C3878" s="13" t="s">
        <v>1062</v>
      </c>
      <c r="D3878" s="764"/>
      <c r="E3878" s="22"/>
      <c r="F3878" s="19">
        <v>23956</v>
      </c>
      <c r="G3878" s="14">
        <f t="shared" si="86"/>
        <v>-23956</v>
      </c>
      <c r="H3878" s="1187"/>
    </row>
    <row r="3879" spans="1:8" x14ac:dyDescent="0.25">
      <c r="A3879" s="112">
        <v>45495</v>
      </c>
      <c r="B3879" s="21" t="s">
        <v>9820</v>
      </c>
      <c r="C3879" s="13" t="s">
        <v>1062</v>
      </c>
      <c r="D3879" s="764" t="s">
        <v>13873</v>
      </c>
      <c r="E3879" s="22"/>
      <c r="F3879" s="19">
        <v>3412</v>
      </c>
      <c r="G3879" s="14">
        <f t="shared" si="86"/>
        <v>-3412</v>
      </c>
      <c r="H3879" s="1187"/>
    </row>
    <row r="3880" spans="1:8" x14ac:dyDescent="0.25">
      <c r="A3880" s="112">
        <v>45495</v>
      </c>
      <c r="B3880" s="21" t="s">
        <v>13098</v>
      </c>
      <c r="C3880" s="13" t="s">
        <v>1062</v>
      </c>
      <c r="D3880" s="764"/>
      <c r="E3880" s="22"/>
      <c r="F3880" s="19">
        <v>1604</v>
      </c>
      <c r="G3880" s="14">
        <f t="shared" si="86"/>
        <v>-1604</v>
      </c>
      <c r="H3880" s="1187"/>
    </row>
    <row r="3881" spans="1:8" x14ac:dyDescent="0.25">
      <c r="A3881" s="112">
        <v>45495</v>
      </c>
      <c r="B3881" s="21" t="s">
        <v>12671</v>
      </c>
      <c r="C3881" s="13" t="s">
        <v>1062</v>
      </c>
      <c r="D3881" s="764"/>
      <c r="E3881" s="22"/>
      <c r="F3881" s="19">
        <v>24817</v>
      </c>
      <c r="G3881" s="14">
        <f t="shared" si="86"/>
        <v>-24817</v>
      </c>
      <c r="H3881" s="1187"/>
    </row>
    <row r="3882" spans="1:8" x14ac:dyDescent="0.25">
      <c r="A3882" s="112">
        <v>45495</v>
      </c>
      <c r="B3882" s="21" t="s">
        <v>13417</v>
      </c>
      <c r="C3882" s="13" t="s">
        <v>1062</v>
      </c>
      <c r="D3882" s="764"/>
      <c r="E3882" s="22"/>
      <c r="F3882" s="19">
        <v>58770</v>
      </c>
      <c r="G3882" s="14">
        <f t="shared" si="86"/>
        <v>-58770</v>
      </c>
      <c r="H3882" s="1187"/>
    </row>
    <row r="3883" spans="1:8" x14ac:dyDescent="0.25">
      <c r="A3883" s="112">
        <v>45495</v>
      </c>
      <c r="B3883" s="21" t="s">
        <v>13213</v>
      </c>
      <c r="C3883" s="13" t="s">
        <v>1062</v>
      </c>
      <c r="D3883" s="764"/>
      <c r="E3883" s="22"/>
      <c r="F3883" s="19">
        <v>45496</v>
      </c>
      <c r="G3883" s="14">
        <f t="shared" si="86"/>
        <v>-45496</v>
      </c>
      <c r="H3883" s="1187"/>
    </row>
    <row r="3884" spans="1:8" x14ac:dyDescent="0.25">
      <c r="A3884" s="112">
        <v>45495</v>
      </c>
      <c r="B3884" s="21" t="s">
        <v>13165</v>
      </c>
      <c r="C3884" s="13" t="s">
        <v>1062</v>
      </c>
      <c r="D3884" s="764"/>
      <c r="E3884" s="22"/>
      <c r="F3884" s="19">
        <f>400000-F3880-F3879-F3878-F3877-F3876-F3875-F3881-F3882-F3883</f>
        <v>216585</v>
      </c>
      <c r="G3884" s="14">
        <f t="shared" si="86"/>
        <v>-216585</v>
      </c>
      <c r="H3884" s="1188"/>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6" t="s">
        <v>13806</v>
      </c>
    </row>
    <row r="3948" spans="1:8" ht="16.5" thickBot="1" x14ac:dyDescent="0.3">
      <c r="A3948" s="112">
        <v>45509</v>
      </c>
      <c r="B3948" s="21" t="s">
        <v>12671</v>
      </c>
      <c r="C3948" s="13" t="s">
        <v>8384</v>
      </c>
      <c r="D3948" s="764"/>
      <c r="E3948" s="22"/>
      <c r="F3948" s="109">
        <v>250000</v>
      </c>
      <c r="G3948" s="14">
        <f t="shared" si="88"/>
        <v>-250000</v>
      </c>
      <c r="H3948" s="1188"/>
    </row>
    <row r="3949" spans="1:8" x14ac:dyDescent="0.25">
      <c r="A3949" s="112">
        <v>45509</v>
      </c>
      <c r="B3949" s="21" t="s">
        <v>8329</v>
      </c>
      <c r="C3949" s="13" t="s">
        <v>1062</v>
      </c>
      <c r="D3949" s="764"/>
      <c r="E3949" s="22"/>
      <c r="F3949" s="783">
        <v>16040</v>
      </c>
      <c r="G3949" s="782">
        <f t="shared" si="88"/>
        <v>-16040</v>
      </c>
      <c r="H3949" s="1186" t="s">
        <v>13872</v>
      </c>
    </row>
    <row r="3950" spans="1:8" x14ac:dyDescent="0.25">
      <c r="A3950" s="112">
        <v>45509</v>
      </c>
      <c r="B3950" s="21" t="s">
        <v>11068</v>
      </c>
      <c r="C3950" s="13" t="s">
        <v>1062</v>
      </c>
      <c r="D3950" s="764"/>
      <c r="E3950" s="22"/>
      <c r="F3950" s="141">
        <v>8865</v>
      </c>
      <c r="G3950" s="782">
        <f t="shared" si="88"/>
        <v>-8865</v>
      </c>
      <c r="H3950" s="1187"/>
    </row>
    <row r="3951" spans="1:8" x14ac:dyDescent="0.25">
      <c r="A3951" s="112">
        <v>45509</v>
      </c>
      <c r="B3951" s="21" t="s">
        <v>11586</v>
      </c>
      <c r="C3951" s="13" t="s">
        <v>1062</v>
      </c>
      <c r="D3951" s="764"/>
      <c r="E3951" s="22"/>
      <c r="F3951" s="141">
        <v>5650</v>
      </c>
      <c r="G3951" s="782">
        <f t="shared" si="88"/>
        <v>-5650</v>
      </c>
      <c r="H3951" s="1187"/>
    </row>
    <row r="3952" spans="1:8" x14ac:dyDescent="0.25">
      <c r="A3952" s="112">
        <v>45509</v>
      </c>
      <c r="B3952" s="21" t="s">
        <v>12594</v>
      </c>
      <c r="C3952" s="13" t="s">
        <v>1062</v>
      </c>
      <c r="D3952" s="764"/>
      <c r="E3952" s="22"/>
      <c r="F3952" s="141">
        <v>54460</v>
      </c>
      <c r="G3952" s="782">
        <f t="shared" si="88"/>
        <v>-54460</v>
      </c>
      <c r="H3952" s="1187"/>
    </row>
    <row r="3953" spans="1:8" x14ac:dyDescent="0.25">
      <c r="A3953" s="112">
        <v>45509</v>
      </c>
      <c r="B3953" s="21" t="s">
        <v>12388</v>
      </c>
      <c r="C3953" s="13" t="s">
        <v>1062</v>
      </c>
      <c r="D3953" s="764" t="s">
        <v>13874</v>
      </c>
      <c r="E3953" s="22"/>
      <c r="F3953" s="141">
        <v>24884</v>
      </c>
      <c r="G3953" s="782">
        <f t="shared" si="88"/>
        <v>-24884</v>
      </c>
      <c r="H3953" s="1187"/>
    </row>
    <row r="3954" spans="1:8" x14ac:dyDescent="0.25">
      <c r="A3954" s="112">
        <v>45509</v>
      </c>
      <c r="B3954" s="21" t="s">
        <v>12671</v>
      </c>
      <c r="C3954" s="13" t="s">
        <v>1062</v>
      </c>
      <c r="D3954" s="764"/>
      <c r="E3954" s="22"/>
      <c r="F3954" s="141">
        <v>51300</v>
      </c>
      <c r="G3954" s="782">
        <f t="shared" si="88"/>
        <v>-51300</v>
      </c>
      <c r="H3954" s="1187"/>
    </row>
    <row r="3955" spans="1:8" x14ac:dyDescent="0.25">
      <c r="A3955" s="112">
        <v>45509</v>
      </c>
      <c r="B3955" s="21" t="s">
        <v>13240</v>
      </c>
      <c r="C3955" s="13" t="s">
        <v>1062</v>
      </c>
      <c r="D3955" s="764"/>
      <c r="E3955" s="22"/>
      <c r="F3955" s="141">
        <v>62465</v>
      </c>
      <c r="G3955" s="782">
        <f t="shared" si="88"/>
        <v>-62465</v>
      </c>
      <c r="H3955" s="1187"/>
    </row>
    <row r="3956" spans="1:8" x14ac:dyDescent="0.25">
      <c r="A3956" s="112">
        <v>45509</v>
      </c>
      <c r="B3956" s="21" t="s">
        <v>13417</v>
      </c>
      <c r="C3956" s="13" t="s">
        <v>1062</v>
      </c>
      <c r="D3956" s="764"/>
      <c r="E3956" s="22"/>
      <c r="F3956" s="141">
        <v>32400</v>
      </c>
      <c r="G3956" s="782">
        <f t="shared" si="88"/>
        <v>-32400</v>
      </c>
      <c r="H3956" s="1187"/>
    </row>
    <row r="3957" spans="1:8" ht="16.5" thickBot="1" x14ac:dyDescent="0.3">
      <c r="A3957" s="112">
        <v>45509</v>
      </c>
      <c r="B3957" s="21" t="s">
        <v>13213</v>
      </c>
      <c r="C3957" s="13" t="s">
        <v>1062</v>
      </c>
      <c r="D3957" s="764"/>
      <c r="E3957" s="22"/>
      <c r="F3957" s="784">
        <v>43936</v>
      </c>
      <c r="G3957" s="782">
        <f t="shared" si="88"/>
        <v>-43936</v>
      </c>
      <c r="H3957" s="1188"/>
    </row>
    <row r="3958" spans="1:8" x14ac:dyDescent="0.25">
      <c r="A3958" s="112">
        <v>45509</v>
      </c>
      <c r="B3958" s="21" t="s">
        <v>11068</v>
      </c>
      <c r="C3958" s="13" t="s">
        <v>12350</v>
      </c>
      <c r="D3958" s="764"/>
      <c r="E3958" s="22"/>
      <c r="F3958" s="151">
        <v>256037</v>
      </c>
      <c r="G3958" s="782">
        <f t="shared" si="88"/>
        <v>-256037</v>
      </c>
      <c r="H3958" s="1253" t="s">
        <v>13809</v>
      </c>
    </row>
    <row r="3959" spans="1:8" x14ac:dyDescent="0.25">
      <c r="A3959" s="112">
        <v>45509</v>
      </c>
      <c r="B3959" s="21" t="s">
        <v>10220</v>
      </c>
      <c r="C3959" s="13" t="s">
        <v>12350</v>
      </c>
      <c r="D3959" s="764"/>
      <c r="E3959" s="781"/>
      <c r="F3959" s="141">
        <v>31000</v>
      </c>
      <c r="G3959" s="782">
        <f t="shared" si="88"/>
        <v>-31000</v>
      </c>
      <c r="H3959" s="1254"/>
    </row>
    <row r="3960" spans="1:8" x14ac:dyDescent="0.25">
      <c r="A3960" s="112">
        <v>45509</v>
      </c>
      <c r="B3960" s="21" t="s">
        <v>10559</v>
      </c>
      <c r="C3960" s="13" t="s">
        <v>12350</v>
      </c>
      <c r="D3960" s="764"/>
      <c r="E3960" s="781"/>
      <c r="F3960" s="141">
        <v>33000</v>
      </c>
      <c r="G3960" s="782">
        <f t="shared" si="88"/>
        <v>-33000</v>
      </c>
      <c r="H3960" s="1254"/>
    </row>
    <row r="3961" spans="1:8" x14ac:dyDescent="0.25">
      <c r="A3961" s="112">
        <v>45509</v>
      </c>
      <c r="B3961" s="21" t="s">
        <v>12211</v>
      </c>
      <c r="C3961" s="13" t="s">
        <v>12350</v>
      </c>
      <c r="D3961" s="764"/>
      <c r="E3961" s="781"/>
      <c r="F3961" s="141">
        <v>27500</v>
      </c>
      <c r="G3961" s="782">
        <f t="shared" si="88"/>
        <v>-27500</v>
      </c>
      <c r="H3961" s="1254"/>
    </row>
    <row r="3962" spans="1:8" x14ac:dyDescent="0.25">
      <c r="A3962" s="112">
        <v>45509</v>
      </c>
      <c r="B3962" s="21" t="s">
        <v>12774</v>
      </c>
      <c r="C3962" s="13" t="s">
        <v>12350</v>
      </c>
      <c r="D3962" s="764"/>
      <c r="E3962" s="781"/>
      <c r="F3962" s="141">
        <v>38500</v>
      </c>
      <c r="G3962" s="782">
        <f t="shared" si="88"/>
        <v>-38500</v>
      </c>
      <c r="H3962" s="1254"/>
    </row>
    <row r="3963" spans="1:8" x14ac:dyDescent="0.25">
      <c r="A3963" s="112">
        <v>45509</v>
      </c>
      <c r="B3963" s="21" t="s">
        <v>12671</v>
      </c>
      <c r="C3963" s="13" t="s">
        <v>12350</v>
      </c>
      <c r="D3963" s="764"/>
      <c r="E3963" s="781"/>
      <c r="F3963" s="141">
        <v>12000</v>
      </c>
      <c r="G3963" s="782">
        <f t="shared" si="88"/>
        <v>-12000</v>
      </c>
      <c r="H3963" s="1254"/>
    </row>
    <row r="3964" spans="1:8" ht="16.5" thickBot="1" x14ac:dyDescent="0.3">
      <c r="A3964" s="112">
        <v>45509</v>
      </c>
      <c r="B3964" s="21" t="s">
        <v>11864</v>
      </c>
      <c r="C3964" s="13" t="s">
        <v>12350</v>
      </c>
      <c r="D3964" s="764"/>
      <c r="E3964" s="781"/>
      <c r="F3964" s="784">
        <v>1963</v>
      </c>
      <c r="G3964" s="782">
        <f t="shared" si="88"/>
        <v>-1963</v>
      </c>
      <c r="H3964" s="1255"/>
    </row>
    <row r="3965" spans="1:8" x14ac:dyDescent="0.25">
      <c r="A3965" s="112">
        <v>45509</v>
      </c>
      <c r="B3965" s="21" t="s">
        <v>11864</v>
      </c>
      <c r="C3965" s="13" t="s">
        <v>12350</v>
      </c>
      <c r="D3965" s="764"/>
      <c r="E3965" s="781"/>
      <c r="F3965" s="783">
        <v>167156</v>
      </c>
      <c r="G3965" s="782">
        <f t="shared" si="88"/>
        <v>-167156</v>
      </c>
      <c r="H3965" s="1253" t="s">
        <v>13811</v>
      </c>
    </row>
    <row r="3966" spans="1:8" x14ac:dyDescent="0.25">
      <c r="A3966" s="112">
        <v>45509</v>
      </c>
      <c r="B3966" s="21" t="s">
        <v>12783</v>
      </c>
      <c r="C3966" s="13" t="s">
        <v>12350</v>
      </c>
      <c r="D3966" s="764"/>
      <c r="E3966" s="781"/>
      <c r="F3966" s="151">
        <v>19000</v>
      </c>
      <c r="G3966" s="782">
        <f t="shared" si="88"/>
        <v>-19000</v>
      </c>
      <c r="H3966" s="1254"/>
    </row>
    <row r="3967" spans="1:8" x14ac:dyDescent="0.25">
      <c r="A3967" s="112">
        <v>45509</v>
      </c>
      <c r="B3967" s="21" t="s">
        <v>12388</v>
      </c>
      <c r="C3967" s="13" t="s">
        <v>12350</v>
      </c>
      <c r="D3967" s="764"/>
      <c r="E3967" s="781"/>
      <c r="F3967" s="151">
        <v>42703</v>
      </c>
      <c r="G3967" s="782">
        <f t="shared" si="88"/>
        <v>-42703</v>
      </c>
      <c r="H3967" s="1254"/>
    </row>
    <row r="3968" spans="1:8" x14ac:dyDescent="0.25">
      <c r="A3968" s="112">
        <v>45509</v>
      </c>
      <c r="B3968" s="21" t="s">
        <v>13240</v>
      </c>
      <c r="C3968" s="13" t="s">
        <v>12350</v>
      </c>
      <c r="D3968" s="764"/>
      <c r="E3968" s="781"/>
      <c r="F3968" s="151">
        <v>171005</v>
      </c>
      <c r="G3968" s="782">
        <f t="shared" si="88"/>
        <v>-171005</v>
      </c>
      <c r="H3968" s="1254"/>
    </row>
    <row r="3969" spans="1:8" x14ac:dyDescent="0.25">
      <c r="A3969" s="112">
        <v>45509</v>
      </c>
      <c r="B3969" s="21" t="s">
        <v>13475</v>
      </c>
      <c r="C3969" s="13" t="s">
        <v>12350</v>
      </c>
      <c r="D3969" s="764"/>
      <c r="E3969" s="781"/>
      <c r="F3969" s="151">
        <v>48550</v>
      </c>
      <c r="G3969" s="782">
        <f t="shared" si="88"/>
        <v>-48550</v>
      </c>
      <c r="H3969" s="1254"/>
    </row>
    <row r="3970" spans="1:8" x14ac:dyDescent="0.25">
      <c r="A3970" s="112">
        <v>45509</v>
      </c>
      <c r="B3970" s="21" t="s">
        <v>13636</v>
      </c>
      <c r="C3970" s="13" t="s">
        <v>12350</v>
      </c>
      <c r="D3970" s="764"/>
      <c r="E3970" s="781"/>
      <c r="F3970" s="151">
        <v>25000</v>
      </c>
      <c r="G3970" s="782">
        <f t="shared" si="88"/>
        <v>-25000</v>
      </c>
      <c r="H3970" s="1254"/>
    </row>
    <row r="3971" spans="1:8" ht="16.5" thickBot="1" x14ac:dyDescent="0.3">
      <c r="A3971" s="112">
        <v>45509</v>
      </c>
      <c r="B3971" s="21" t="s">
        <v>13213</v>
      </c>
      <c r="C3971" s="13" t="s">
        <v>12350</v>
      </c>
      <c r="D3971" s="764"/>
      <c r="E3971" s="781"/>
      <c r="F3971" s="295">
        <v>206586</v>
      </c>
      <c r="G3971" s="782">
        <f t="shared" si="88"/>
        <v>-206586</v>
      </c>
      <c r="H3971" s="1255"/>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6" t="s">
        <v>13807</v>
      </c>
    </row>
    <row r="3974" spans="1:8" x14ac:dyDescent="0.25">
      <c r="A3974" s="112">
        <v>45509</v>
      </c>
      <c r="B3974" s="21" t="s">
        <v>12594</v>
      </c>
      <c r="C3974" s="13" t="s">
        <v>7465</v>
      </c>
      <c r="D3974" s="764"/>
      <c r="E3974" s="22"/>
      <c r="F3974" s="19">
        <v>45459</v>
      </c>
      <c r="G3974" s="14">
        <f t="shared" si="88"/>
        <v>-45459</v>
      </c>
      <c r="H3974" s="1187"/>
    </row>
    <row r="3975" spans="1:8" x14ac:dyDescent="0.25">
      <c r="A3975" s="112">
        <v>45509</v>
      </c>
      <c r="B3975" s="21" t="s">
        <v>11864</v>
      </c>
      <c r="C3975" s="13" t="s">
        <v>7465</v>
      </c>
      <c r="D3975" s="764"/>
      <c r="E3975" s="22"/>
      <c r="F3975" s="19">
        <v>306006</v>
      </c>
      <c r="G3975" s="14">
        <f t="shared" si="88"/>
        <v>-306006</v>
      </c>
      <c r="H3975" s="1187"/>
    </row>
    <row r="3976" spans="1:8" x14ac:dyDescent="0.25">
      <c r="A3976" s="112">
        <v>45509</v>
      </c>
      <c r="B3976" s="21" t="s">
        <v>10889</v>
      </c>
      <c r="C3976" s="13" t="s">
        <v>7465</v>
      </c>
      <c r="D3976" s="764"/>
      <c r="E3976" s="22"/>
      <c r="F3976" s="19">
        <v>32600</v>
      </c>
      <c r="G3976" s="14">
        <f t="shared" si="88"/>
        <v>-32600</v>
      </c>
      <c r="H3976" s="1187"/>
    </row>
    <row r="3977" spans="1:8" x14ac:dyDescent="0.25">
      <c r="A3977" s="112">
        <v>45509</v>
      </c>
      <c r="B3977" s="21" t="s">
        <v>9344</v>
      </c>
      <c r="C3977" s="13" t="s">
        <v>7465</v>
      </c>
      <c r="D3977" s="764"/>
      <c r="E3977" s="22"/>
      <c r="F3977" s="19">
        <v>33559</v>
      </c>
      <c r="G3977" s="14">
        <f t="shared" si="88"/>
        <v>-33559</v>
      </c>
      <c r="H3977" s="1187"/>
    </row>
    <row r="3978" spans="1:8" x14ac:dyDescent="0.25">
      <c r="A3978" s="112">
        <v>45509</v>
      </c>
      <c r="B3978" s="21" t="s">
        <v>10284</v>
      </c>
      <c r="C3978" s="13" t="s">
        <v>7465</v>
      </c>
      <c r="D3978" s="764"/>
      <c r="E3978" s="22"/>
      <c r="F3978" s="19">
        <v>43900</v>
      </c>
      <c r="G3978" s="14">
        <f t="shared" si="88"/>
        <v>-43900</v>
      </c>
      <c r="H3978" s="1187"/>
    </row>
    <row r="3979" spans="1:8" x14ac:dyDescent="0.25">
      <c r="A3979" s="112">
        <v>45509</v>
      </c>
      <c r="B3979" s="21" t="s">
        <v>12783</v>
      </c>
      <c r="C3979" s="13" t="s">
        <v>7465</v>
      </c>
      <c r="D3979" s="764"/>
      <c r="E3979" s="22"/>
      <c r="F3979" s="19">
        <v>105607</v>
      </c>
      <c r="G3979" s="14">
        <f t="shared" si="88"/>
        <v>-105607</v>
      </c>
      <c r="H3979" s="1187"/>
    </row>
    <row r="3980" spans="1:8" x14ac:dyDescent="0.25">
      <c r="A3980" s="112">
        <v>45509</v>
      </c>
      <c r="B3980" s="21" t="s">
        <v>8547</v>
      </c>
      <c r="C3980" s="13" t="s">
        <v>7465</v>
      </c>
      <c r="D3980" s="764"/>
      <c r="E3980" s="22"/>
      <c r="F3980" s="19">
        <v>29114</v>
      </c>
      <c r="G3980" s="14">
        <f t="shared" si="88"/>
        <v>-29114</v>
      </c>
      <c r="H3980" s="1188"/>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2" t="s">
        <v>13849</v>
      </c>
    </row>
    <row r="4004" spans="1:8" x14ac:dyDescent="0.25">
      <c r="A4004" s="112">
        <v>45512</v>
      </c>
      <c r="B4004" s="21" t="s">
        <v>10459</v>
      </c>
      <c r="C4004" s="13" t="s">
        <v>5680</v>
      </c>
      <c r="D4004" s="764"/>
      <c r="E4004" s="781"/>
      <c r="F4004" s="19">
        <v>4500</v>
      </c>
      <c r="G4004" s="14">
        <f t="shared" si="88"/>
        <v>-4500</v>
      </c>
      <c r="H4004" s="1193"/>
    </row>
    <row r="4005" spans="1:8" x14ac:dyDescent="0.25">
      <c r="A4005" s="112">
        <v>45512</v>
      </c>
      <c r="B4005" s="21" t="s">
        <v>10220</v>
      </c>
      <c r="C4005" s="13" t="s">
        <v>5680</v>
      </c>
      <c r="D4005" s="764"/>
      <c r="E4005" s="781"/>
      <c r="F4005" s="19">
        <v>86852</v>
      </c>
      <c r="G4005" s="14">
        <f t="shared" si="88"/>
        <v>-86852</v>
      </c>
      <c r="H4005" s="1193"/>
    </row>
    <row r="4006" spans="1:8" x14ac:dyDescent="0.25">
      <c r="A4006" s="112">
        <v>45512</v>
      </c>
      <c r="B4006" s="21" t="s">
        <v>10559</v>
      </c>
      <c r="C4006" s="13" t="s">
        <v>5680</v>
      </c>
      <c r="D4006" s="764"/>
      <c r="E4006" s="781"/>
      <c r="F4006" s="19">
        <v>33900</v>
      </c>
      <c r="G4006" s="14">
        <f t="shared" si="88"/>
        <v>-33900</v>
      </c>
      <c r="H4006" s="1193"/>
    </row>
    <row r="4007" spans="1:8" x14ac:dyDescent="0.25">
      <c r="A4007" s="112">
        <v>45512</v>
      </c>
      <c r="B4007" s="21" t="s">
        <v>9344</v>
      </c>
      <c r="C4007" s="13" t="s">
        <v>5680</v>
      </c>
      <c r="D4007" s="764"/>
      <c r="E4007" s="781"/>
      <c r="F4007" s="19">
        <v>29000</v>
      </c>
      <c r="G4007" s="14">
        <f t="shared" si="88"/>
        <v>-29000</v>
      </c>
      <c r="H4007" s="1193"/>
    </row>
    <row r="4008" spans="1:8" x14ac:dyDescent="0.25">
      <c r="A4008" s="112">
        <v>45512</v>
      </c>
      <c r="B4008" s="21" t="s">
        <v>11488</v>
      </c>
      <c r="C4008" s="13" t="s">
        <v>5680</v>
      </c>
      <c r="D4008" s="764"/>
      <c r="E4008" s="781"/>
      <c r="F4008" s="19">
        <v>30148</v>
      </c>
      <c r="G4008" s="14">
        <f t="shared" si="88"/>
        <v>-30148</v>
      </c>
      <c r="H4008" s="1194"/>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6" t="s">
        <v>13851</v>
      </c>
    </row>
    <row r="4026" spans="1:8" x14ac:dyDescent="0.25">
      <c r="A4026" s="112">
        <v>45519</v>
      </c>
      <c r="B4026" s="21" t="s">
        <v>11068</v>
      </c>
      <c r="C4026" s="13" t="s">
        <v>166</v>
      </c>
      <c r="D4026" s="764"/>
      <c r="E4026" s="781"/>
      <c r="F4026" s="141">
        <v>31324</v>
      </c>
      <c r="G4026" s="782">
        <f t="shared" ref="G4026:G4132" si="89">E4026-F4026</f>
        <v>-31324</v>
      </c>
      <c r="H4026" s="1187"/>
    </row>
    <row r="4027" spans="1:8" x14ac:dyDescent="0.25">
      <c r="A4027" s="112">
        <v>45519</v>
      </c>
      <c r="B4027" s="21" t="s">
        <v>11488</v>
      </c>
      <c r="C4027" s="13" t="s">
        <v>166</v>
      </c>
      <c r="D4027" s="764"/>
      <c r="E4027" s="781"/>
      <c r="F4027" s="141">
        <v>8000</v>
      </c>
      <c r="G4027" s="782">
        <f t="shared" si="89"/>
        <v>-8000</v>
      </c>
      <c r="H4027" s="1187"/>
    </row>
    <row r="4028" spans="1:8" x14ac:dyDescent="0.25">
      <c r="A4028" s="112">
        <v>45519</v>
      </c>
      <c r="B4028" s="21" t="s">
        <v>12171</v>
      </c>
      <c r="C4028" s="13" t="s">
        <v>166</v>
      </c>
      <c r="D4028" s="764"/>
      <c r="E4028" s="781"/>
      <c r="F4028" s="141">
        <v>351969</v>
      </c>
      <c r="G4028" s="782">
        <f t="shared" si="89"/>
        <v>-351969</v>
      </c>
      <c r="H4028" s="1187"/>
    </row>
    <row r="4029" spans="1:8" x14ac:dyDescent="0.25">
      <c r="A4029" s="112">
        <v>45519</v>
      </c>
      <c r="B4029" s="21" t="s">
        <v>12774</v>
      </c>
      <c r="C4029" s="13" t="s">
        <v>166</v>
      </c>
      <c r="D4029" s="764"/>
      <c r="E4029" s="781"/>
      <c r="F4029" s="141">
        <v>14000</v>
      </c>
      <c r="G4029" s="782">
        <f t="shared" si="89"/>
        <v>-14000</v>
      </c>
      <c r="H4029" s="1187"/>
    </row>
    <row r="4030" spans="1:8" x14ac:dyDescent="0.25">
      <c r="A4030" s="112">
        <v>45519</v>
      </c>
      <c r="B4030" s="21" t="s">
        <v>12388</v>
      </c>
      <c r="C4030" s="13" t="s">
        <v>166</v>
      </c>
      <c r="D4030" s="764"/>
      <c r="E4030" s="781"/>
      <c r="F4030" s="141">
        <v>31500</v>
      </c>
      <c r="G4030" s="782">
        <f t="shared" si="89"/>
        <v>-31500</v>
      </c>
      <c r="H4030" s="1187"/>
    </row>
    <row r="4031" spans="1:8" x14ac:dyDescent="0.25">
      <c r="A4031" s="112">
        <v>45519</v>
      </c>
      <c r="B4031" s="21" t="s">
        <v>13417</v>
      </c>
      <c r="C4031" s="13" t="s">
        <v>166</v>
      </c>
      <c r="D4031" s="764"/>
      <c r="E4031" s="781"/>
      <c r="F4031" s="141">
        <v>131377</v>
      </c>
      <c r="G4031" s="782">
        <f t="shared" si="89"/>
        <v>-131377</v>
      </c>
      <c r="H4031" s="1187"/>
    </row>
    <row r="4032" spans="1:8" ht="16.5" thickBot="1" x14ac:dyDescent="0.3">
      <c r="A4032" s="112">
        <v>45519</v>
      </c>
      <c r="B4032" s="21" t="s">
        <v>13278</v>
      </c>
      <c r="C4032" s="13" t="s">
        <v>166</v>
      </c>
      <c r="D4032" s="764"/>
      <c r="E4032" s="781"/>
      <c r="F4032" s="784">
        <v>25454</v>
      </c>
      <c r="G4032" s="782">
        <f t="shared" si="89"/>
        <v>-25454</v>
      </c>
      <c r="H4032" s="1188"/>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50" t="s">
        <v>13965</v>
      </c>
    </row>
    <row r="4061" spans="1:8" x14ac:dyDescent="0.25">
      <c r="A4061" s="112">
        <v>45527</v>
      </c>
      <c r="B4061" s="21" t="s">
        <v>13165</v>
      </c>
      <c r="C4061" s="13" t="s">
        <v>1062</v>
      </c>
      <c r="D4061" s="764"/>
      <c r="E4061" s="781"/>
      <c r="F4061" s="141">
        <v>200000</v>
      </c>
      <c r="G4061" s="782">
        <f t="shared" si="89"/>
        <v>-200000</v>
      </c>
      <c r="H4061" s="1198"/>
    </row>
    <row r="4062" spans="1:8" ht="16.5" thickBot="1" x14ac:dyDescent="0.3">
      <c r="A4062" s="112">
        <v>45527</v>
      </c>
      <c r="B4062" s="21" t="s">
        <v>13519</v>
      </c>
      <c r="C4062" s="13" t="s">
        <v>1062</v>
      </c>
      <c r="D4062" s="764"/>
      <c r="E4062" s="781"/>
      <c r="F4062" s="784">
        <v>100000</v>
      </c>
      <c r="G4062" s="782">
        <f t="shared" si="89"/>
        <v>-100000</v>
      </c>
      <c r="H4062" s="1251"/>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53" t="s">
        <v>13949</v>
      </c>
    </row>
    <row r="4065" spans="1:8" ht="16.5" thickBot="1" x14ac:dyDescent="0.3">
      <c r="A4065" s="112">
        <v>45528</v>
      </c>
      <c r="B4065" s="21" t="s">
        <v>13240</v>
      </c>
      <c r="C4065" s="13" t="s">
        <v>13276</v>
      </c>
      <c r="D4065" s="764"/>
      <c r="E4065" s="781"/>
      <c r="F4065" s="784">
        <v>456844</v>
      </c>
      <c r="G4065" s="782">
        <f t="shared" si="89"/>
        <v>-456844</v>
      </c>
      <c r="H4065" s="1255"/>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6" t="s">
        <v>14099</v>
      </c>
    </row>
    <row r="4097" spans="1:8" x14ac:dyDescent="0.25">
      <c r="A4097" s="112">
        <v>45539</v>
      </c>
      <c r="B4097" s="21" t="s">
        <v>13213</v>
      </c>
      <c r="C4097" s="13" t="s">
        <v>8384</v>
      </c>
      <c r="D4097" s="764"/>
      <c r="E4097" s="22"/>
      <c r="F4097" s="19">
        <v>400000</v>
      </c>
      <c r="G4097" s="14">
        <f t="shared" si="89"/>
        <v>-400000</v>
      </c>
      <c r="H4097" s="1188"/>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91" t="s">
        <v>14247</v>
      </c>
    </row>
    <row r="4133" spans="1:8" x14ac:dyDescent="0.25">
      <c r="A4133" s="112">
        <v>45551</v>
      </c>
      <c r="B4133" s="21" t="s">
        <v>12671</v>
      </c>
      <c r="C4133" s="13" t="s">
        <v>8384</v>
      </c>
      <c r="D4133" s="764"/>
      <c r="E4133" s="22"/>
      <c r="F4133" s="19">
        <v>600000</v>
      </c>
      <c r="G4133" s="14">
        <f t="shared" ref="G4133:G4282" si="93">E4133-F4133</f>
        <v>-600000</v>
      </c>
      <c r="H4133" s="1292"/>
    </row>
    <row r="4134" spans="1:8" x14ac:dyDescent="0.25">
      <c r="A4134" s="112">
        <v>45551</v>
      </c>
      <c r="B4134" s="21" t="s">
        <v>13213</v>
      </c>
      <c r="C4134" s="13" t="s">
        <v>8384</v>
      </c>
      <c r="D4134" s="764"/>
      <c r="E4134" s="22"/>
      <c r="F4134" s="19">
        <v>300000</v>
      </c>
      <c r="G4134" s="14">
        <f t="shared" si="93"/>
        <v>-300000</v>
      </c>
      <c r="H4134" s="1293"/>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6" t="s">
        <v>14461</v>
      </c>
    </row>
    <row r="4149" spans="1:8" x14ac:dyDescent="0.25">
      <c r="A4149" s="112">
        <v>45559</v>
      </c>
      <c r="B4149" s="21" t="s">
        <v>12388</v>
      </c>
      <c r="C4149" s="13" t="s">
        <v>7947</v>
      </c>
      <c r="D4149" s="764"/>
      <c r="E4149" s="22"/>
      <c r="F4149" s="19">
        <v>95999</v>
      </c>
      <c r="G4149" s="14">
        <f t="shared" si="93"/>
        <v>-95999</v>
      </c>
      <c r="H4149" s="1188"/>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189" t="s">
        <v>14457</v>
      </c>
      <c r="E4153" s="22">
        <v>1762383</v>
      </c>
      <c r="F4153" s="111"/>
      <c r="G4153" s="14">
        <f t="shared" si="93"/>
        <v>1762383</v>
      </c>
      <c r="H4153" s="1186" t="s">
        <v>9314</v>
      </c>
    </row>
    <row r="4154" spans="1:8" x14ac:dyDescent="0.25">
      <c r="A4154" s="112">
        <v>45561</v>
      </c>
      <c r="B4154" s="21" t="s">
        <v>13098</v>
      </c>
      <c r="C4154" s="13" t="s">
        <v>7947</v>
      </c>
      <c r="D4154" s="1190"/>
      <c r="E4154" s="22">
        <v>495000</v>
      </c>
      <c r="F4154" s="111"/>
      <c r="G4154" s="14">
        <f t="shared" si="93"/>
        <v>495000</v>
      </c>
      <c r="H4154" s="1188"/>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99" t="s">
        <v>14444</v>
      </c>
    </row>
    <row r="4164" spans="1:9" x14ac:dyDescent="0.25">
      <c r="A4164" s="112">
        <v>45566</v>
      </c>
      <c r="B4164" s="21" t="s">
        <v>13213</v>
      </c>
      <c r="C4164" s="13" t="s">
        <v>1062</v>
      </c>
      <c r="D4164" s="764"/>
      <c r="E4164" s="22"/>
      <c r="F4164" s="19">
        <v>50000</v>
      </c>
      <c r="G4164" s="782">
        <f>E4164-F4164</f>
        <v>-50000</v>
      </c>
      <c r="H4164" s="120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2" t="s">
        <v>14420</v>
      </c>
    </row>
    <row r="4167" spans="1:9" x14ac:dyDescent="0.25">
      <c r="A4167" s="112">
        <v>45567</v>
      </c>
      <c r="B4167" s="21" t="s">
        <v>12783</v>
      </c>
      <c r="C4167" s="13" t="s">
        <v>166</v>
      </c>
      <c r="D4167" s="764"/>
      <c r="E4167" s="781"/>
      <c r="F4167" s="141">
        <v>13324</v>
      </c>
      <c r="G4167" s="782">
        <f t="shared" si="93"/>
        <v>-13324</v>
      </c>
      <c r="H4167" s="1193"/>
    </row>
    <row r="4168" spans="1:9" x14ac:dyDescent="0.25">
      <c r="A4168" s="112">
        <v>45567</v>
      </c>
      <c r="B4168" s="21" t="s">
        <v>12388</v>
      </c>
      <c r="C4168" s="13" t="s">
        <v>166</v>
      </c>
      <c r="D4168" s="764"/>
      <c r="E4168" s="781"/>
      <c r="F4168" s="141">
        <v>127755</v>
      </c>
      <c r="G4168" s="782">
        <f t="shared" si="93"/>
        <v>-127755</v>
      </c>
      <c r="H4168" s="1193"/>
    </row>
    <row r="4169" spans="1:9" x14ac:dyDescent="0.25">
      <c r="A4169" s="112">
        <v>45567</v>
      </c>
      <c r="B4169" s="21" t="s">
        <v>13213</v>
      </c>
      <c r="C4169" s="13" t="s">
        <v>166</v>
      </c>
      <c r="D4169" s="764"/>
      <c r="E4169" s="781"/>
      <c r="F4169" s="141">
        <v>51167</v>
      </c>
      <c r="G4169" s="782">
        <f t="shared" si="93"/>
        <v>-51167</v>
      </c>
      <c r="H4169" s="1193"/>
    </row>
    <row r="4170" spans="1:9" x14ac:dyDescent="0.25">
      <c r="A4170" s="112">
        <v>45567</v>
      </c>
      <c r="B4170" s="21" t="s">
        <v>13417</v>
      </c>
      <c r="C4170" s="13" t="s">
        <v>166</v>
      </c>
      <c r="D4170" s="764"/>
      <c r="E4170" s="781"/>
      <c r="F4170" s="141">
        <v>148964</v>
      </c>
      <c r="G4170" s="782">
        <f t="shared" si="93"/>
        <v>-148964</v>
      </c>
      <c r="H4170" s="1193"/>
    </row>
    <row r="4171" spans="1:9" ht="16.5" thickBot="1" x14ac:dyDescent="0.3">
      <c r="A4171" s="112">
        <v>45567</v>
      </c>
      <c r="B4171" s="21" t="s">
        <v>13519</v>
      </c>
      <c r="C4171" s="13" t="s">
        <v>166</v>
      </c>
      <c r="D4171" s="764"/>
      <c r="E4171" s="781"/>
      <c r="F4171" s="784">
        <v>152500</v>
      </c>
      <c r="G4171" s="782">
        <f t="shared" si="93"/>
        <v>-152500</v>
      </c>
      <c r="H4171" s="1194"/>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53" t="s">
        <v>14479</v>
      </c>
    </row>
    <row r="4190" spans="1:9" x14ac:dyDescent="0.25">
      <c r="A4190" s="112">
        <v>45568</v>
      </c>
      <c r="B4190" s="21" t="s">
        <v>12783</v>
      </c>
      <c r="C4190" s="13" t="s">
        <v>164</v>
      </c>
      <c r="D4190" s="764"/>
      <c r="E4190" s="781"/>
      <c r="F4190" s="141">
        <v>8321</v>
      </c>
      <c r="G4190" s="782">
        <f t="shared" si="93"/>
        <v>-8321</v>
      </c>
      <c r="H4190" s="1254"/>
    </row>
    <row r="4191" spans="1:9" x14ac:dyDescent="0.25">
      <c r="A4191" s="112">
        <v>45568</v>
      </c>
      <c r="B4191" s="21" t="s">
        <v>12388</v>
      </c>
      <c r="C4191" s="13" t="s">
        <v>164</v>
      </c>
      <c r="D4191" s="764"/>
      <c r="E4191" s="781"/>
      <c r="F4191" s="141">
        <v>24631</v>
      </c>
      <c r="G4191" s="782">
        <f t="shared" si="93"/>
        <v>-24631</v>
      </c>
      <c r="H4191" s="1254"/>
    </row>
    <row r="4192" spans="1:9" x14ac:dyDescent="0.25">
      <c r="A4192" s="112">
        <v>45568</v>
      </c>
      <c r="B4192" s="21" t="s">
        <v>12671</v>
      </c>
      <c r="C4192" s="13" t="s">
        <v>164</v>
      </c>
      <c r="D4192" s="764"/>
      <c r="E4192" s="781"/>
      <c r="F4192" s="141">
        <v>9919</v>
      </c>
      <c r="G4192" s="782">
        <f t="shared" si="93"/>
        <v>-9919</v>
      </c>
      <c r="H4192" s="1254"/>
    </row>
    <row r="4193" spans="1:8" x14ac:dyDescent="0.25">
      <c r="A4193" s="112">
        <v>45568</v>
      </c>
      <c r="B4193" s="21" t="s">
        <v>13278</v>
      </c>
      <c r="C4193" s="13" t="s">
        <v>164</v>
      </c>
      <c r="D4193" s="764"/>
      <c r="E4193" s="781"/>
      <c r="F4193" s="141">
        <v>7348</v>
      </c>
      <c r="G4193" s="782">
        <f t="shared" si="93"/>
        <v>-7348</v>
      </c>
      <c r="H4193" s="1254"/>
    </row>
    <row r="4194" spans="1:8" ht="16.5" thickBot="1" x14ac:dyDescent="0.3">
      <c r="A4194" s="112">
        <v>45568</v>
      </c>
      <c r="B4194" s="21" t="s">
        <v>13417</v>
      </c>
      <c r="C4194" s="13" t="s">
        <v>164</v>
      </c>
      <c r="D4194" s="764"/>
      <c r="E4194" s="781"/>
      <c r="F4194" s="784">
        <v>54379</v>
      </c>
      <c r="G4194" s="782">
        <f t="shared" si="93"/>
        <v>-54379</v>
      </c>
      <c r="H4194" s="1255"/>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6" t="s">
        <v>14554</v>
      </c>
    </row>
    <row r="4208" spans="1:8" x14ac:dyDescent="0.25">
      <c r="A4208" s="112">
        <v>45573</v>
      </c>
      <c r="B4208" s="21" t="s">
        <v>8864</v>
      </c>
      <c r="C4208" s="13" t="s">
        <v>8384</v>
      </c>
      <c r="D4208" s="764"/>
      <c r="E4208" s="781"/>
      <c r="F4208" s="141">
        <v>10256</v>
      </c>
      <c r="G4208" s="782">
        <f t="shared" si="93"/>
        <v>-10256</v>
      </c>
      <c r="H4208" s="1187"/>
    </row>
    <row r="4209" spans="1:8" x14ac:dyDescent="0.25">
      <c r="A4209" s="112">
        <v>45573</v>
      </c>
      <c r="B4209" s="21" t="s">
        <v>12171</v>
      </c>
      <c r="C4209" s="13" t="s">
        <v>8384</v>
      </c>
      <c r="D4209" s="764"/>
      <c r="E4209" s="781"/>
      <c r="F4209" s="141">
        <v>6195</v>
      </c>
      <c r="G4209" s="782">
        <f t="shared" si="93"/>
        <v>-6195</v>
      </c>
      <c r="H4209" s="1187"/>
    </row>
    <row r="4210" spans="1:8" x14ac:dyDescent="0.25">
      <c r="A4210" s="112">
        <v>45573</v>
      </c>
      <c r="B4210" s="21" t="s">
        <v>12594</v>
      </c>
      <c r="C4210" s="13" t="s">
        <v>8384</v>
      </c>
      <c r="D4210" s="764"/>
      <c r="E4210" s="781"/>
      <c r="F4210" s="141">
        <v>313443</v>
      </c>
      <c r="G4210" s="782">
        <f t="shared" si="93"/>
        <v>-313443</v>
      </c>
      <c r="H4210" s="1187"/>
    </row>
    <row r="4211" spans="1:8" x14ac:dyDescent="0.25">
      <c r="A4211" s="112">
        <v>45573</v>
      </c>
      <c r="B4211" s="21" t="s">
        <v>12783</v>
      </c>
      <c r="C4211" s="13" t="s">
        <v>8384</v>
      </c>
      <c r="D4211" s="764"/>
      <c r="E4211" s="781"/>
      <c r="F4211" s="141">
        <v>53024</v>
      </c>
      <c r="G4211" s="782">
        <f t="shared" si="93"/>
        <v>-53024</v>
      </c>
      <c r="H4211" s="1187"/>
    </row>
    <row r="4212" spans="1:8" x14ac:dyDescent="0.25">
      <c r="A4212" s="112">
        <v>45573</v>
      </c>
      <c r="B4212" s="21" t="s">
        <v>13098</v>
      </c>
      <c r="C4212" s="13" t="s">
        <v>8384</v>
      </c>
      <c r="D4212" s="764"/>
      <c r="E4212" s="781"/>
      <c r="F4212" s="141">
        <v>212787</v>
      </c>
      <c r="G4212" s="782">
        <f t="shared" si="93"/>
        <v>-212787</v>
      </c>
      <c r="H4212" s="1187"/>
    </row>
    <row r="4213" spans="1:8" x14ac:dyDescent="0.25">
      <c r="A4213" s="112">
        <v>45573</v>
      </c>
      <c r="B4213" s="21" t="s">
        <v>13240</v>
      </c>
      <c r="C4213" s="13" t="s">
        <v>8384</v>
      </c>
      <c r="D4213" s="764"/>
      <c r="E4213" s="781"/>
      <c r="F4213" s="141">
        <v>60287</v>
      </c>
      <c r="G4213" s="782">
        <f t="shared" si="93"/>
        <v>-60287</v>
      </c>
      <c r="H4213" s="1187"/>
    </row>
    <row r="4214" spans="1:8" x14ac:dyDescent="0.25">
      <c r="A4214" s="112">
        <v>45573</v>
      </c>
      <c r="B4214" s="21" t="s">
        <v>13213</v>
      </c>
      <c r="C4214" s="13" t="s">
        <v>8384</v>
      </c>
      <c r="D4214" s="764"/>
      <c r="E4214" s="781"/>
      <c r="F4214" s="141">
        <v>127621</v>
      </c>
      <c r="G4214" s="782">
        <f t="shared" si="93"/>
        <v>-127621</v>
      </c>
      <c r="H4214" s="1187"/>
    </row>
    <row r="4215" spans="1:8" x14ac:dyDescent="0.25">
      <c r="A4215" s="112">
        <v>45573</v>
      </c>
      <c r="B4215" s="21" t="s">
        <v>13475</v>
      </c>
      <c r="C4215" s="13" t="s">
        <v>8384</v>
      </c>
      <c r="D4215" s="764"/>
      <c r="E4215" s="781"/>
      <c r="F4215" s="141">
        <v>15601</v>
      </c>
      <c r="G4215" s="782">
        <f t="shared" si="93"/>
        <v>-15601</v>
      </c>
      <c r="H4215" s="1187"/>
    </row>
    <row r="4216" spans="1:8" x14ac:dyDescent="0.25">
      <c r="A4216" s="112">
        <v>45573</v>
      </c>
      <c r="B4216" s="21" t="s">
        <v>13279</v>
      </c>
      <c r="C4216" s="13" t="s">
        <v>8384</v>
      </c>
      <c r="D4216" s="764"/>
      <c r="E4216" s="781"/>
      <c r="F4216" s="141">
        <v>40000</v>
      </c>
      <c r="G4216" s="782">
        <f t="shared" si="93"/>
        <v>-40000</v>
      </c>
      <c r="H4216" s="1187"/>
    </row>
    <row r="4217" spans="1:8" x14ac:dyDescent="0.25">
      <c r="A4217" s="112">
        <v>45573</v>
      </c>
      <c r="B4217" s="21" t="s">
        <v>13636</v>
      </c>
      <c r="C4217" s="13" t="s">
        <v>8384</v>
      </c>
      <c r="D4217" s="764"/>
      <c r="E4217" s="781"/>
      <c r="F4217" s="141">
        <v>44559</v>
      </c>
      <c r="G4217" s="782">
        <f t="shared" si="93"/>
        <v>-44559</v>
      </c>
      <c r="H4217" s="1187"/>
    </row>
    <row r="4218" spans="1:8" x14ac:dyDescent="0.25">
      <c r="A4218" s="112">
        <v>45573</v>
      </c>
      <c r="B4218" s="21" t="s">
        <v>13278</v>
      </c>
      <c r="C4218" s="13" t="s">
        <v>8384</v>
      </c>
      <c r="D4218" s="764"/>
      <c r="E4218" s="781"/>
      <c r="F4218" s="141">
        <v>39181</v>
      </c>
      <c r="G4218" s="782">
        <f t="shared" si="93"/>
        <v>-39181</v>
      </c>
      <c r="H4218" s="1187"/>
    </row>
    <row r="4219" spans="1:8" x14ac:dyDescent="0.25">
      <c r="A4219" s="112">
        <v>45573</v>
      </c>
      <c r="B4219" s="21" t="s">
        <v>13935</v>
      </c>
      <c r="C4219" s="13" t="s">
        <v>8384</v>
      </c>
      <c r="D4219" s="764"/>
      <c r="E4219" s="781"/>
      <c r="F4219" s="141">
        <v>9340</v>
      </c>
      <c r="G4219" s="782">
        <f t="shared" si="93"/>
        <v>-9340</v>
      </c>
      <c r="H4219" s="1187"/>
    </row>
    <row r="4220" spans="1:8" ht="16.5" thickBot="1" x14ac:dyDescent="0.3">
      <c r="A4220" s="112">
        <v>45573</v>
      </c>
      <c r="B4220" s="21" t="s">
        <v>11068</v>
      </c>
      <c r="C4220" s="13" t="s">
        <v>8384</v>
      </c>
      <c r="D4220" s="764"/>
      <c r="E4220" s="781"/>
      <c r="F4220" s="784">
        <v>506136</v>
      </c>
      <c r="G4220" s="782">
        <f t="shared" si="93"/>
        <v>-506136</v>
      </c>
      <c r="H4220" s="1188"/>
    </row>
    <row r="4221" spans="1:8" x14ac:dyDescent="0.25">
      <c r="A4221" s="112">
        <v>45573</v>
      </c>
      <c r="B4221" s="21" t="s">
        <v>11068</v>
      </c>
      <c r="C4221" s="13" t="s">
        <v>13116</v>
      </c>
      <c r="D4221" s="764"/>
      <c r="E4221" s="781"/>
      <c r="F4221" s="151">
        <v>715771</v>
      </c>
      <c r="G4221" s="782">
        <f t="shared" si="93"/>
        <v>-715771</v>
      </c>
      <c r="H4221" s="1253" t="s">
        <v>14523</v>
      </c>
    </row>
    <row r="4222" spans="1:8" x14ac:dyDescent="0.25">
      <c r="A4222" s="112">
        <v>45573</v>
      </c>
      <c r="B4222" s="21" t="s">
        <v>10559</v>
      </c>
      <c r="C4222" s="13" t="s">
        <v>13116</v>
      </c>
      <c r="D4222" s="764"/>
      <c r="E4222" s="781"/>
      <c r="F4222" s="141">
        <v>60000</v>
      </c>
      <c r="G4222" s="782">
        <f t="shared" si="93"/>
        <v>-60000</v>
      </c>
      <c r="H4222" s="1254"/>
    </row>
    <row r="4223" spans="1:8" x14ac:dyDescent="0.25">
      <c r="A4223" s="112">
        <v>45573</v>
      </c>
      <c r="B4223" s="21" t="s">
        <v>12774</v>
      </c>
      <c r="C4223" s="13" t="s">
        <v>13116</v>
      </c>
      <c r="D4223" s="764"/>
      <c r="E4223" s="781"/>
      <c r="F4223" s="141">
        <v>80000</v>
      </c>
      <c r="G4223" s="782">
        <f t="shared" si="93"/>
        <v>-80000</v>
      </c>
      <c r="H4223" s="1254"/>
    </row>
    <row r="4224" spans="1:8" x14ac:dyDescent="0.25">
      <c r="A4224" s="112">
        <v>45573</v>
      </c>
      <c r="B4224" s="21" t="s">
        <v>13279</v>
      </c>
      <c r="C4224" s="13" t="s">
        <v>13116</v>
      </c>
      <c r="D4224" s="764"/>
      <c r="E4224" s="781"/>
      <c r="F4224" s="141">
        <v>40000</v>
      </c>
      <c r="G4224" s="782">
        <f t="shared" si="93"/>
        <v>-40000</v>
      </c>
      <c r="H4224" s="1254"/>
    </row>
    <row r="4225" spans="1:8" x14ac:dyDescent="0.25">
      <c r="A4225" s="112">
        <v>45573</v>
      </c>
      <c r="B4225" s="21" t="s">
        <v>13278</v>
      </c>
      <c r="C4225" s="13" t="s">
        <v>13116</v>
      </c>
      <c r="D4225" s="764"/>
      <c r="E4225" s="781"/>
      <c r="F4225" s="141">
        <v>40000</v>
      </c>
      <c r="G4225" s="782">
        <f t="shared" si="93"/>
        <v>-40000</v>
      </c>
      <c r="H4225" s="1254"/>
    </row>
    <row r="4226" spans="1:8" x14ac:dyDescent="0.25">
      <c r="A4226" s="112">
        <v>45573</v>
      </c>
      <c r="B4226" s="21" t="s">
        <v>13904</v>
      </c>
      <c r="C4226" s="13" t="s">
        <v>13116</v>
      </c>
      <c r="D4226" s="764"/>
      <c r="E4226" s="781"/>
      <c r="F4226" s="141">
        <v>57229</v>
      </c>
      <c r="G4226" s="782">
        <f t="shared" si="93"/>
        <v>-57229</v>
      </c>
      <c r="H4226" s="1254"/>
    </row>
    <row r="4227" spans="1:8" ht="16.5" thickBot="1" x14ac:dyDescent="0.3">
      <c r="A4227" s="112">
        <v>45573</v>
      </c>
      <c r="B4227" s="21" t="s">
        <v>13297</v>
      </c>
      <c r="C4227" s="13" t="s">
        <v>13116</v>
      </c>
      <c r="D4227" s="764"/>
      <c r="E4227" s="781"/>
      <c r="F4227" s="784">
        <v>7000</v>
      </c>
      <c r="G4227" s="782">
        <f t="shared" si="93"/>
        <v>-7000</v>
      </c>
      <c r="H4227" s="1255"/>
    </row>
    <row r="4228" spans="1:8" x14ac:dyDescent="0.25">
      <c r="A4228" s="112">
        <v>45574</v>
      </c>
      <c r="B4228" s="21" t="s">
        <v>12251</v>
      </c>
      <c r="C4228" s="13" t="s">
        <v>169</v>
      </c>
      <c r="D4228" s="764"/>
      <c r="E4228" s="781"/>
      <c r="F4228" s="783">
        <v>5773</v>
      </c>
      <c r="G4228" s="782">
        <f t="shared" si="93"/>
        <v>-5773</v>
      </c>
      <c r="H4228" s="1186" t="s">
        <v>14531</v>
      </c>
    </row>
    <row r="4229" spans="1:8" x14ac:dyDescent="0.25">
      <c r="A4229" s="112">
        <v>45574</v>
      </c>
      <c r="B4229" s="21" t="s">
        <v>11068</v>
      </c>
      <c r="C4229" s="13" t="s">
        <v>169</v>
      </c>
      <c r="D4229" s="764"/>
      <c r="E4229" s="781"/>
      <c r="F4229" s="141">
        <v>199303</v>
      </c>
      <c r="G4229" s="782">
        <f t="shared" si="93"/>
        <v>-199303</v>
      </c>
      <c r="H4229" s="1187"/>
    </row>
    <row r="4230" spans="1:8" x14ac:dyDescent="0.25">
      <c r="A4230" s="112">
        <v>45574</v>
      </c>
      <c r="B4230" s="21" t="s">
        <v>10890</v>
      </c>
      <c r="C4230" s="13" t="s">
        <v>169</v>
      </c>
      <c r="D4230" s="764"/>
      <c r="E4230" s="781"/>
      <c r="F4230" s="141">
        <v>9908</v>
      </c>
      <c r="G4230" s="782">
        <f t="shared" si="93"/>
        <v>-9908</v>
      </c>
      <c r="H4230" s="1187"/>
    </row>
    <row r="4231" spans="1:8" x14ac:dyDescent="0.25">
      <c r="A4231" s="112">
        <v>45574</v>
      </c>
      <c r="B4231" s="21" t="s">
        <v>11864</v>
      </c>
      <c r="C4231" s="13" t="s">
        <v>169</v>
      </c>
      <c r="D4231" s="764"/>
      <c r="E4231" s="781"/>
      <c r="F4231" s="141">
        <v>2741</v>
      </c>
      <c r="G4231" s="782">
        <f t="shared" si="93"/>
        <v>-2741</v>
      </c>
      <c r="H4231" s="1187"/>
    </row>
    <row r="4232" spans="1:8" x14ac:dyDescent="0.25">
      <c r="A4232" s="112">
        <v>45574</v>
      </c>
      <c r="B4232" s="21" t="s">
        <v>13240</v>
      </c>
      <c r="C4232" s="13" t="s">
        <v>169</v>
      </c>
      <c r="D4232" s="764"/>
      <c r="E4232" s="781"/>
      <c r="F4232" s="141">
        <v>15025</v>
      </c>
      <c r="G4232" s="782">
        <f t="shared" si="93"/>
        <v>-15025</v>
      </c>
      <c r="H4232" s="1187"/>
    </row>
    <row r="4233" spans="1:8" ht="16.5" thickBot="1" x14ac:dyDescent="0.3">
      <c r="A4233" s="112">
        <v>45574</v>
      </c>
      <c r="B4233" s="21" t="s">
        <v>13213</v>
      </c>
      <c r="C4233" s="13" t="s">
        <v>169</v>
      </c>
      <c r="D4233" s="764"/>
      <c r="E4233" s="781"/>
      <c r="F4233" s="784">
        <v>67250</v>
      </c>
      <c r="G4233" s="782">
        <f t="shared" si="93"/>
        <v>-67250</v>
      </c>
      <c r="H4233" s="1188"/>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2" t="s">
        <v>14796</v>
      </c>
    </row>
    <row r="4307" spans="1:8" x14ac:dyDescent="0.25">
      <c r="A4307" s="112">
        <v>45595</v>
      </c>
      <c r="B4307" s="21" t="s">
        <v>13213</v>
      </c>
      <c r="C4307" s="13" t="s">
        <v>13276</v>
      </c>
      <c r="D4307" s="764"/>
      <c r="E4307" s="22"/>
      <c r="F4307" s="19">
        <f>273000-7531</f>
        <v>265469</v>
      </c>
      <c r="G4307" s="14">
        <f t="shared" si="95"/>
        <v>-265469</v>
      </c>
      <c r="H4307" s="1193"/>
    </row>
    <row r="4308" spans="1:8" x14ac:dyDescent="0.25">
      <c r="A4308" s="112">
        <v>45595</v>
      </c>
      <c r="B4308" s="21" t="s">
        <v>14539</v>
      </c>
      <c r="C4308" s="13" t="s">
        <v>13276</v>
      </c>
      <c r="D4308" s="764"/>
      <c r="E4308" s="22"/>
      <c r="F4308" s="19">
        <v>7531</v>
      </c>
      <c r="G4308" s="14">
        <f t="shared" si="95"/>
        <v>-7531</v>
      </c>
      <c r="H4308" s="1194"/>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6" t="s">
        <v>14885</v>
      </c>
    </row>
    <row r="4333" spans="1:8" x14ac:dyDescent="0.25">
      <c r="A4333" s="112">
        <v>45602</v>
      </c>
      <c r="B4333" s="21" t="s">
        <v>13213</v>
      </c>
      <c r="C4333" s="13" t="s">
        <v>1062</v>
      </c>
      <c r="D4333" s="764"/>
      <c r="E4333" s="22"/>
      <c r="F4333" s="19">
        <v>100000</v>
      </c>
      <c r="G4333" s="14">
        <f t="shared" si="95"/>
        <v>-100000</v>
      </c>
      <c r="H4333" s="1187"/>
    </row>
    <row r="4334" spans="1:8" x14ac:dyDescent="0.25">
      <c r="A4334" s="112">
        <v>45602</v>
      </c>
      <c r="B4334" s="21" t="s">
        <v>14568</v>
      </c>
      <c r="C4334" s="13" t="s">
        <v>1062</v>
      </c>
      <c r="D4334" s="764"/>
      <c r="E4334" s="22"/>
      <c r="F4334" s="19">
        <v>100000</v>
      </c>
      <c r="G4334" s="14">
        <f t="shared" si="95"/>
        <v>-100000</v>
      </c>
      <c r="H4334" s="1187"/>
    </row>
    <row r="4335" spans="1:8" x14ac:dyDescent="0.25">
      <c r="A4335" s="112">
        <v>45602</v>
      </c>
      <c r="B4335" s="21" t="s">
        <v>14351</v>
      </c>
      <c r="C4335" s="13" t="s">
        <v>1062</v>
      </c>
      <c r="D4335" s="764"/>
      <c r="E4335" s="22"/>
      <c r="F4335" s="19">
        <v>100000</v>
      </c>
      <c r="G4335" s="14">
        <f t="shared" si="95"/>
        <v>-100000</v>
      </c>
      <c r="H4335" s="1187"/>
    </row>
    <row r="4336" spans="1:8" x14ac:dyDescent="0.25">
      <c r="A4336" s="112">
        <v>45602</v>
      </c>
      <c r="B4336" s="21" t="s">
        <v>14232</v>
      </c>
      <c r="C4336" s="13" t="s">
        <v>1062</v>
      </c>
      <c r="D4336" s="764"/>
      <c r="E4336" s="22"/>
      <c r="F4336" s="19">
        <v>100000</v>
      </c>
      <c r="G4336" s="14">
        <f t="shared" si="95"/>
        <v>-100000</v>
      </c>
      <c r="H4336" s="1188"/>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6" t="s">
        <v>14903</v>
      </c>
    </row>
    <row r="4345" spans="1:8" x14ac:dyDescent="0.25">
      <c r="A4345" s="112">
        <v>45604</v>
      </c>
      <c r="B4345" s="21" t="s">
        <v>12671</v>
      </c>
      <c r="C4345" s="13" t="s">
        <v>8384</v>
      </c>
      <c r="D4345" s="764"/>
      <c r="E4345" s="22"/>
      <c r="F4345" s="19">
        <v>500000</v>
      </c>
      <c r="G4345" s="14">
        <f t="shared" si="95"/>
        <v>-500000</v>
      </c>
      <c r="H4345" s="1187"/>
    </row>
    <row r="4346" spans="1:8" x14ac:dyDescent="0.25">
      <c r="A4346" s="112">
        <v>45604</v>
      </c>
      <c r="B4346" s="21" t="s">
        <v>15260</v>
      </c>
      <c r="C4346" s="13" t="s">
        <v>8384</v>
      </c>
      <c r="D4346" s="764"/>
      <c r="E4346" s="22"/>
      <c r="F4346" s="19">
        <v>200000</v>
      </c>
      <c r="G4346" s="14">
        <f t="shared" si="95"/>
        <v>-200000</v>
      </c>
      <c r="H4346" s="1187"/>
    </row>
    <row r="4347" spans="1:8" x14ac:dyDescent="0.25">
      <c r="A4347" s="112">
        <v>45604</v>
      </c>
      <c r="B4347" s="21" t="s">
        <v>14568</v>
      </c>
      <c r="C4347" s="13" t="s">
        <v>8384</v>
      </c>
      <c r="D4347" s="764"/>
      <c r="E4347" s="22"/>
      <c r="F4347" s="19">
        <v>300000</v>
      </c>
      <c r="G4347" s="14">
        <f t="shared" si="95"/>
        <v>-300000</v>
      </c>
      <c r="H4347" s="1188"/>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98" t="s">
        <v>15002</v>
      </c>
    </row>
    <row r="4369" spans="1:8" x14ac:dyDescent="0.25">
      <c r="A4369" s="112">
        <v>45614</v>
      </c>
      <c r="B4369" s="21" t="s">
        <v>9344</v>
      </c>
      <c r="C4369" s="13" t="s">
        <v>12350</v>
      </c>
      <c r="D4369" s="764"/>
      <c r="E4369" s="781"/>
      <c r="F4369" s="141">
        <v>14000</v>
      </c>
      <c r="G4369" s="782">
        <f t="shared" si="95"/>
        <v>-14000</v>
      </c>
      <c r="H4369" s="1198"/>
    </row>
    <row r="4370" spans="1:8" x14ac:dyDescent="0.25">
      <c r="A4370" s="112">
        <v>45614</v>
      </c>
      <c r="B4370" s="21" t="s">
        <v>12388</v>
      </c>
      <c r="C4370" s="13" t="s">
        <v>12350</v>
      </c>
      <c r="D4370" s="764"/>
      <c r="E4370" s="781"/>
      <c r="F4370" s="141">
        <v>88000</v>
      </c>
      <c r="G4370" s="782">
        <f t="shared" si="95"/>
        <v>-88000</v>
      </c>
      <c r="H4370" s="1198"/>
    </row>
    <row r="4371" spans="1:8" x14ac:dyDescent="0.25">
      <c r="A4371" s="112">
        <v>45614</v>
      </c>
      <c r="B4371" s="21" t="s">
        <v>13098</v>
      </c>
      <c r="C4371" s="13" t="s">
        <v>12350</v>
      </c>
      <c r="D4371" s="764"/>
      <c r="E4371" s="781"/>
      <c r="F4371" s="141">
        <v>155162</v>
      </c>
      <c r="G4371" s="782">
        <f t="shared" si="95"/>
        <v>-155162</v>
      </c>
      <c r="H4371" s="1198"/>
    </row>
    <row r="4372" spans="1:8" x14ac:dyDescent="0.25">
      <c r="A4372" s="112">
        <v>45614</v>
      </c>
      <c r="B4372" s="21" t="s">
        <v>13240</v>
      </c>
      <c r="C4372" s="13" t="s">
        <v>12350</v>
      </c>
      <c r="D4372" s="764"/>
      <c r="E4372" s="781"/>
      <c r="F4372" s="141">
        <v>514260</v>
      </c>
      <c r="G4372" s="782">
        <f t="shared" ref="G4372:G4453" si="97">E4372-F4372</f>
        <v>-514260</v>
      </c>
      <c r="H4372" s="1198"/>
    </row>
    <row r="4373" spans="1:8" x14ac:dyDescent="0.25">
      <c r="A4373" s="112">
        <v>45614</v>
      </c>
      <c r="B4373" s="21" t="s">
        <v>13213</v>
      </c>
      <c r="C4373" s="13" t="s">
        <v>12350</v>
      </c>
      <c r="D4373" s="764"/>
      <c r="E4373" s="781"/>
      <c r="F4373" s="141">
        <v>721256</v>
      </c>
      <c r="G4373" s="782">
        <f t="shared" si="97"/>
        <v>-721256</v>
      </c>
      <c r="H4373" s="1198"/>
    </row>
    <row r="4374" spans="1:8" x14ac:dyDescent="0.25">
      <c r="A4374" s="112">
        <v>45614</v>
      </c>
      <c r="B4374" s="21" t="s">
        <v>13417</v>
      </c>
      <c r="C4374" s="13" t="s">
        <v>12350</v>
      </c>
      <c r="D4374" s="764"/>
      <c r="E4374" s="781"/>
      <c r="F4374" s="141">
        <v>738020</v>
      </c>
      <c r="G4374" s="782">
        <f t="shared" si="97"/>
        <v>-738020</v>
      </c>
      <c r="H4374" s="1198"/>
    </row>
    <row r="4375" spans="1:8" x14ac:dyDescent="0.25">
      <c r="A4375" s="112">
        <v>45614</v>
      </c>
      <c r="B4375" s="21" t="s">
        <v>13475</v>
      </c>
      <c r="C4375" s="13" t="s">
        <v>12350</v>
      </c>
      <c r="D4375" s="764"/>
      <c r="E4375" s="781"/>
      <c r="F4375" s="141">
        <v>13300</v>
      </c>
      <c r="G4375" s="782">
        <f t="shared" si="97"/>
        <v>-13300</v>
      </c>
      <c r="H4375" s="1198"/>
    </row>
    <row r="4376" spans="1:8" x14ac:dyDescent="0.25">
      <c r="A4376" s="112">
        <v>45614</v>
      </c>
      <c r="B4376" s="21" t="s">
        <v>13278</v>
      </c>
      <c r="C4376" s="13" t="s">
        <v>12350</v>
      </c>
      <c r="D4376" s="764"/>
      <c r="E4376" s="781"/>
      <c r="F4376" s="141">
        <v>15425</v>
      </c>
      <c r="G4376" s="782">
        <f t="shared" si="97"/>
        <v>-15425</v>
      </c>
      <c r="H4376" s="1198"/>
    </row>
    <row r="4377" spans="1:8" x14ac:dyDescent="0.25">
      <c r="A4377" s="112">
        <v>45614</v>
      </c>
      <c r="B4377" s="21" t="s">
        <v>11068</v>
      </c>
      <c r="C4377" s="13" t="s">
        <v>12350</v>
      </c>
      <c r="D4377" s="764"/>
      <c r="E4377" s="781"/>
      <c r="F4377" s="141">
        <v>233220</v>
      </c>
      <c r="G4377" s="782">
        <f t="shared" si="97"/>
        <v>-233220</v>
      </c>
      <c r="H4377" s="1198"/>
    </row>
    <row r="4378" spans="1:8" ht="16.5" thickBot="1" x14ac:dyDescent="0.3">
      <c r="A4378" s="112">
        <v>45614</v>
      </c>
      <c r="B4378" s="21" t="s">
        <v>12671</v>
      </c>
      <c r="C4378" s="13" t="s">
        <v>12350</v>
      </c>
      <c r="D4378" s="764"/>
      <c r="E4378" s="781"/>
      <c r="F4378" s="784">
        <v>465927</v>
      </c>
      <c r="G4378" s="782">
        <f t="shared" si="97"/>
        <v>-465927</v>
      </c>
      <c r="H4378" s="1251"/>
    </row>
    <row r="4379" spans="1:8" x14ac:dyDescent="0.25">
      <c r="A4379" s="112">
        <v>45614</v>
      </c>
      <c r="B4379" s="21" t="s">
        <v>13165</v>
      </c>
      <c r="C4379" s="13" t="s">
        <v>10472</v>
      </c>
      <c r="D4379" s="764"/>
      <c r="E4379" s="22"/>
      <c r="F4379" s="111">
        <v>856679</v>
      </c>
      <c r="G4379" s="14">
        <f t="shared" si="97"/>
        <v>-856679</v>
      </c>
      <c r="H4379" s="1250" t="s">
        <v>15003</v>
      </c>
    </row>
    <row r="4380" spans="1:8" x14ac:dyDescent="0.25">
      <c r="A4380" s="112">
        <v>45614</v>
      </c>
      <c r="B4380" s="21" t="s">
        <v>13297</v>
      </c>
      <c r="C4380" s="13" t="s">
        <v>10472</v>
      </c>
      <c r="D4380" s="764"/>
      <c r="E4380" s="22"/>
      <c r="F4380" s="19">
        <v>187222</v>
      </c>
      <c r="G4380" s="14">
        <f t="shared" si="97"/>
        <v>-187222</v>
      </c>
      <c r="H4380" s="1198"/>
    </row>
    <row r="4381" spans="1:8" x14ac:dyDescent="0.25">
      <c r="A4381" s="112">
        <v>45614</v>
      </c>
      <c r="B4381" s="21" t="s">
        <v>13904</v>
      </c>
      <c r="C4381" s="13" t="s">
        <v>10472</v>
      </c>
      <c r="D4381" s="764"/>
      <c r="E4381" s="22"/>
      <c r="F4381" s="19">
        <v>12500</v>
      </c>
      <c r="G4381" s="14">
        <f t="shared" si="97"/>
        <v>-12500</v>
      </c>
      <c r="H4381" s="1198"/>
    </row>
    <row r="4382" spans="1:8" x14ac:dyDescent="0.25">
      <c r="A4382" s="112">
        <v>45614</v>
      </c>
      <c r="B4382" s="21" t="s">
        <v>13279</v>
      </c>
      <c r="C4382" s="13" t="s">
        <v>10472</v>
      </c>
      <c r="D4382" s="764"/>
      <c r="E4382" s="22"/>
      <c r="F4382" s="19">
        <v>88000</v>
      </c>
      <c r="G4382" s="14">
        <f t="shared" si="97"/>
        <v>-88000</v>
      </c>
      <c r="H4382" s="1198"/>
    </row>
    <row r="4383" spans="1:8" x14ac:dyDescent="0.25">
      <c r="A4383" s="112">
        <v>45614</v>
      </c>
      <c r="B4383" s="21" t="s">
        <v>14009</v>
      </c>
      <c r="C4383" s="13" t="s">
        <v>10472</v>
      </c>
      <c r="D4383" s="764"/>
      <c r="E4383" s="22"/>
      <c r="F4383" s="19">
        <v>355599</v>
      </c>
      <c r="G4383" s="14">
        <f t="shared" si="97"/>
        <v>-355599</v>
      </c>
      <c r="H4383" s="1251"/>
    </row>
    <row r="4384" spans="1:8" x14ac:dyDescent="0.25">
      <c r="A4384" s="112">
        <v>45614</v>
      </c>
      <c r="B4384" s="21" t="s">
        <v>11068</v>
      </c>
      <c r="C4384" s="13" t="s">
        <v>13276</v>
      </c>
      <c r="D4384" s="764"/>
      <c r="E4384" s="22"/>
      <c r="F4384" s="19">
        <v>387688</v>
      </c>
      <c r="G4384" s="14">
        <f t="shared" si="97"/>
        <v>-387688</v>
      </c>
      <c r="H4384" s="1250" t="s">
        <v>15005</v>
      </c>
    </row>
    <row r="4385" spans="1:8" x14ac:dyDescent="0.25">
      <c r="A4385" s="112">
        <v>45614</v>
      </c>
      <c r="B4385" s="21" t="s">
        <v>14539</v>
      </c>
      <c r="C4385" s="13" t="s">
        <v>13276</v>
      </c>
      <c r="D4385" s="764"/>
      <c r="E4385" s="22"/>
      <c r="F4385" s="19">
        <v>50947</v>
      </c>
      <c r="G4385" s="14">
        <f t="shared" si="97"/>
        <v>-50947</v>
      </c>
      <c r="H4385" s="1198"/>
    </row>
    <row r="4386" spans="1:8" x14ac:dyDescent="0.25">
      <c r="A4386" s="112">
        <v>45614</v>
      </c>
      <c r="B4386" s="21" t="s">
        <v>14539</v>
      </c>
      <c r="C4386" s="13" t="s">
        <v>13276</v>
      </c>
      <c r="D4386" s="764"/>
      <c r="E4386" s="22"/>
      <c r="F4386" s="19">
        <v>27000</v>
      </c>
      <c r="G4386" s="14">
        <f t="shared" si="97"/>
        <v>-27000</v>
      </c>
      <c r="H4386" s="1198"/>
    </row>
    <row r="4387" spans="1:8" x14ac:dyDescent="0.25">
      <c r="A4387" s="112">
        <v>45614</v>
      </c>
      <c r="B4387" s="21" t="s">
        <v>13519</v>
      </c>
      <c r="C4387" s="13" t="s">
        <v>13276</v>
      </c>
      <c r="D4387" s="764"/>
      <c r="E4387" s="22"/>
      <c r="F4387" s="19">
        <v>16750</v>
      </c>
      <c r="G4387" s="14">
        <f t="shared" si="97"/>
        <v>-16750</v>
      </c>
      <c r="H4387" s="1198"/>
    </row>
    <row r="4388" spans="1:8" x14ac:dyDescent="0.25">
      <c r="A4388" s="112">
        <v>45614</v>
      </c>
      <c r="B4388" s="21" t="s">
        <v>14539</v>
      </c>
      <c r="C4388" s="13" t="s">
        <v>13276</v>
      </c>
      <c r="D4388" s="764"/>
      <c r="E4388" s="22"/>
      <c r="F4388" s="19">
        <v>278615</v>
      </c>
      <c r="G4388" s="14">
        <f t="shared" si="97"/>
        <v>-278615</v>
      </c>
      <c r="H4388" s="1198"/>
    </row>
    <row r="4389" spans="1:8" x14ac:dyDescent="0.25">
      <c r="A4389" s="112">
        <v>45614</v>
      </c>
      <c r="B4389" s="21" t="s">
        <v>15004</v>
      </c>
      <c r="C4389" s="13" t="s">
        <v>13276</v>
      </c>
      <c r="D4389" s="764"/>
      <c r="E4389" s="22"/>
      <c r="F4389" s="19">
        <v>39000</v>
      </c>
      <c r="G4389" s="14">
        <f t="shared" si="97"/>
        <v>-39000</v>
      </c>
      <c r="H4389" s="1251"/>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15954</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53" t="s">
        <v>15106</v>
      </c>
    </row>
    <row r="4416" spans="1:8" x14ac:dyDescent="0.25">
      <c r="A4416" s="112">
        <v>45623</v>
      </c>
      <c r="B4416" s="21" t="s">
        <v>12783</v>
      </c>
      <c r="C4416" s="13" t="s">
        <v>5680</v>
      </c>
      <c r="D4416" s="764"/>
      <c r="E4416" s="22"/>
      <c r="F4416" s="19">
        <v>67300</v>
      </c>
      <c r="G4416" s="14">
        <f t="shared" si="97"/>
        <v>-67300</v>
      </c>
      <c r="H4416" s="1254"/>
    </row>
    <row r="4417" spans="1:8" x14ac:dyDescent="0.25">
      <c r="A4417" s="112">
        <v>45623</v>
      </c>
      <c r="B4417" s="21" t="s">
        <v>11488</v>
      </c>
      <c r="C4417" s="13" t="s">
        <v>5680</v>
      </c>
      <c r="D4417" s="764"/>
      <c r="E4417" s="22"/>
      <c r="F4417" s="19">
        <v>6036</v>
      </c>
      <c r="G4417" s="14">
        <f t="shared" si="97"/>
        <v>-6036</v>
      </c>
      <c r="H4417" s="1255"/>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88" t="s">
        <v>15193</v>
      </c>
    </row>
    <row r="4434" spans="1:8" x14ac:dyDescent="0.25">
      <c r="A4434" s="112">
        <v>45635</v>
      </c>
      <c r="B4434" s="21" t="s">
        <v>12783</v>
      </c>
      <c r="C4434" s="13" t="s">
        <v>13116</v>
      </c>
      <c r="D4434" s="764"/>
      <c r="E4434" s="22"/>
      <c r="F4434" s="19">
        <v>100000</v>
      </c>
      <c r="G4434" s="14">
        <f t="shared" si="97"/>
        <v>-100000</v>
      </c>
      <c r="H4434" s="1289"/>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86" t="s">
        <v>15272</v>
      </c>
    </row>
    <row r="4443" spans="1:8" x14ac:dyDescent="0.25">
      <c r="A4443" s="112">
        <v>45638</v>
      </c>
      <c r="B4443" s="21" t="s">
        <v>14539</v>
      </c>
      <c r="C4443" s="13" t="s">
        <v>8384</v>
      </c>
      <c r="D4443" s="764"/>
      <c r="E4443" s="22"/>
      <c r="F4443" s="19">
        <v>200000</v>
      </c>
      <c r="G4443" s="14">
        <f t="shared" si="97"/>
        <v>-200000</v>
      </c>
      <c r="H4443" s="1187"/>
    </row>
    <row r="4444" spans="1:8" x14ac:dyDescent="0.25">
      <c r="A4444" s="112">
        <v>45638</v>
      </c>
      <c r="B4444" s="21" t="s">
        <v>11068</v>
      </c>
      <c r="C4444" s="13" t="s">
        <v>8384</v>
      </c>
      <c r="D4444" s="764"/>
      <c r="E4444" s="22"/>
      <c r="F4444" s="19">
        <v>100000</v>
      </c>
      <c r="G4444" s="14">
        <f t="shared" si="97"/>
        <v>-100000</v>
      </c>
      <c r="H4444" s="1188"/>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53" t="s">
        <v>15287</v>
      </c>
    </row>
    <row r="4449" spans="1:8" x14ac:dyDescent="0.25">
      <c r="A4449" s="112">
        <v>45643</v>
      </c>
      <c r="B4449" s="21" t="s">
        <v>14539</v>
      </c>
      <c r="C4449" s="13" t="s">
        <v>169</v>
      </c>
      <c r="D4449" s="764"/>
      <c r="E4449" s="22"/>
      <c r="F4449" s="109">
        <v>200000</v>
      </c>
      <c r="G4449" s="14">
        <f t="shared" si="97"/>
        <v>-200000</v>
      </c>
      <c r="H4449" s="1255"/>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15957</v>
      </c>
      <c r="E4452" s="781">
        <v>2551</v>
      </c>
      <c r="F4452" s="213"/>
      <c r="G4452" s="782">
        <f t="shared" si="98"/>
        <v>2551</v>
      </c>
      <c r="H4452" s="1176"/>
    </row>
    <row r="4453" spans="1:8" x14ac:dyDescent="0.25">
      <c r="A4453" s="112">
        <v>45645</v>
      </c>
      <c r="B4453" s="21" t="s">
        <v>12388</v>
      </c>
      <c r="C4453" s="13" t="s">
        <v>1062</v>
      </c>
      <c r="D4453" s="764"/>
      <c r="E4453" s="781"/>
      <c r="F4453" s="783">
        <v>50000</v>
      </c>
      <c r="G4453" s="782">
        <f t="shared" si="97"/>
        <v>-50000</v>
      </c>
      <c r="H4453" s="1253" t="s">
        <v>15332</v>
      </c>
    </row>
    <row r="4454" spans="1:8" x14ac:dyDescent="0.25">
      <c r="A4454" s="112">
        <v>45645</v>
      </c>
      <c r="B4454" s="21" t="s">
        <v>13165</v>
      </c>
      <c r="C4454" s="13" t="s">
        <v>1062</v>
      </c>
      <c r="D4454" s="764"/>
      <c r="E4454" s="781"/>
      <c r="F4454" s="141">
        <v>60000</v>
      </c>
      <c r="G4454" s="782">
        <f t="shared" ref="G4454:G4550" si="99">E4454-F4454</f>
        <v>-60000</v>
      </c>
      <c r="H4454" s="1187"/>
    </row>
    <row r="4455" spans="1:8" x14ac:dyDescent="0.25">
      <c r="A4455" s="112">
        <v>45645</v>
      </c>
      <c r="B4455" s="21" t="s">
        <v>14539</v>
      </c>
      <c r="C4455" s="13" t="s">
        <v>1062</v>
      </c>
      <c r="D4455" s="764"/>
      <c r="E4455" s="781"/>
      <c r="F4455" s="141">
        <v>60000</v>
      </c>
      <c r="G4455" s="782">
        <f t="shared" si="99"/>
        <v>-60000</v>
      </c>
      <c r="H4455" s="1187"/>
    </row>
    <row r="4456" spans="1:8" x14ac:dyDescent="0.25">
      <c r="A4456" s="112">
        <v>45645</v>
      </c>
      <c r="B4456" s="21" t="s">
        <v>14351</v>
      </c>
      <c r="C4456" s="13" t="s">
        <v>1062</v>
      </c>
      <c r="D4456" s="764"/>
      <c r="E4456" s="781"/>
      <c r="F4456" s="141">
        <v>150000</v>
      </c>
      <c r="G4456" s="782">
        <f t="shared" si="99"/>
        <v>-150000</v>
      </c>
      <c r="H4456" s="1187"/>
    </row>
    <row r="4457" spans="1:8" x14ac:dyDescent="0.25">
      <c r="A4457" s="112">
        <v>45645</v>
      </c>
      <c r="B4457" s="21" t="s">
        <v>14232</v>
      </c>
      <c r="C4457" s="13" t="s">
        <v>1062</v>
      </c>
      <c r="D4457" s="764"/>
      <c r="E4457" s="781"/>
      <c r="F4457" s="141">
        <v>100000</v>
      </c>
      <c r="G4457" s="782">
        <f t="shared" si="99"/>
        <v>-100000</v>
      </c>
      <c r="H4457" s="1187"/>
    </row>
    <row r="4458" spans="1:8" x14ac:dyDescent="0.25">
      <c r="A4458" s="112">
        <v>45645</v>
      </c>
      <c r="B4458" s="21" t="s">
        <v>15033</v>
      </c>
      <c r="C4458" s="13" t="s">
        <v>1062</v>
      </c>
      <c r="D4458" s="764"/>
      <c r="E4458" s="781"/>
      <c r="F4458" s="141">
        <v>50000</v>
      </c>
      <c r="G4458" s="782">
        <f t="shared" si="99"/>
        <v>-50000</v>
      </c>
      <c r="H4458" s="1187"/>
    </row>
    <row r="4459" spans="1:8" ht="16.5" thickBot="1" x14ac:dyDescent="0.3">
      <c r="A4459" s="112">
        <v>45645</v>
      </c>
      <c r="B4459" s="21" t="s">
        <v>11068</v>
      </c>
      <c r="C4459" s="13" t="s">
        <v>1062</v>
      </c>
      <c r="D4459" s="764"/>
      <c r="E4459" s="781"/>
      <c r="F4459" s="784">
        <v>30000</v>
      </c>
      <c r="G4459" s="782">
        <f t="shared" si="99"/>
        <v>-30000</v>
      </c>
      <c r="H4459" s="1188"/>
    </row>
    <row r="4460" spans="1:8" x14ac:dyDescent="0.25">
      <c r="A4460" s="112">
        <v>45645</v>
      </c>
      <c r="B4460" s="21" t="s">
        <v>10890</v>
      </c>
      <c r="C4460" s="13" t="s">
        <v>12457</v>
      </c>
      <c r="D4460" s="764"/>
      <c r="E4460" s="781"/>
      <c r="F4460" s="783">
        <v>50000</v>
      </c>
      <c r="G4460" s="782">
        <f t="shared" si="99"/>
        <v>-50000</v>
      </c>
      <c r="H4460" s="1192" t="s">
        <v>15334</v>
      </c>
    </row>
    <row r="4461" spans="1:8" x14ac:dyDescent="0.25">
      <c r="A4461" s="112">
        <v>45645</v>
      </c>
      <c r="B4461" s="21" t="s">
        <v>12388</v>
      </c>
      <c r="C4461" s="13" t="s">
        <v>12457</v>
      </c>
      <c r="D4461" s="764"/>
      <c r="E4461" s="781"/>
      <c r="F4461" s="141">
        <v>100000</v>
      </c>
      <c r="G4461" s="782">
        <f t="shared" si="99"/>
        <v>-100000</v>
      </c>
      <c r="H4461" s="1193"/>
    </row>
    <row r="4462" spans="1:8" x14ac:dyDescent="0.25">
      <c r="A4462" s="112">
        <v>45645</v>
      </c>
      <c r="B4462" s="21" t="s">
        <v>14539</v>
      </c>
      <c r="C4462" s="13" t="s">
        <v>12457</v>
      </c>
      <c r="D4462" s="764"/>
      <c r="E4462" s="781"/>
      <c r="F4462" s="141">
        <v>60000</v>
      </c>
      <c r="G4462" s="782">
        <f t="shared" si="99"/>
        <v>-60000</v>
      </c>
      <c r="H4462" s="1193"/>
    </row>
    <row r="4463" spans="1:8" ht="16.5" thickBot="1" x14ac:dyDescent="0.3">
      <c r="A4463" s="112">
        <v>45645</v>
      </c>
      <c r="B4463" s="21" t="s">
        <v>15257</v>
      </c>
      <c r="C4463" s="13" t="s">
        <v>12457</v>
      </c>
      <c r="D4463" s="764"/>
      <c r="E4463" s="781"/>
      <c r="F4463" s="784">
        <v>190000</v>
      </c>
      <c r="G4463" s="782">
        <f t="shared" si="99"/>
        <v>-190000</v>
      </c>
      <c r="H4463" s="1194"/>
    </row>
    <row r="4464" spans="1:8" ht="16.5" thickBot="1" x14ac:dyDescent="0.3">
      <c r="A4464" s="112">
        <v>45645</v>
      </c>
      <c r="B4464" s="21" t="s">
        <v>14351</v>
      </c>
      <c r="C4464" s="13" t="s">
        <v>164</v>
      </c>
      <c r="D4464" s="764" t="s">
        <v>15991</v>
      </c>
      <c r="E4464" s="781">
        <v>3196</v>
      </c>
      <c r="G4464" s="782">
        <f t="shared" si="99"/>
        <v>3196</v>
      </c>
      <c r="H4464" s="1182"/>
    </row>
    <row r="4465" spans="1:8" x14ac:dyDescent="0.25">
      <c r="A4465" s="112">
        <v>45646</v>
      </c>
      <c r="B4465" s="21" t="s">
        <v>11068</v>
      </c>
      <c r="C4465" s="13" t="s">
        <v>166</v>
      </c>
      <c r="D4465" s="764"/>
      <c r="E4465" s="781"/>
      <c r="F4465" s="783">
        <v>117087</v>
      </c>
      <c r="G4465" s="782">
        <f t="shared" si="99"/>
        <v>-117087</v>
      </c>
      <c r="H4465" s="1186" t="s">
        <v>15351</v>
      </c>
    </row>
    <row r="4466" spans="1:8" x14ac:dyDescent="0.25">
      <c r="A4466" s="112">
        <v>45646</v>
      </c>
      <c r="B4466" s="21" t="s">
        <v>9344</v>
      </c>
      <c r="C4466" s="13" t="s">
        <v>166</v>
      </c>
      <c r="D4466" s="764"/>
      <c r="E4466" s="781"/>
      <c r="F4466" s="141">
        <v>6000</v>
      </c>
      <c r="G4466" s="782">
        <f t="shared" si="99"/>
        <v>-6000</v>
      </c>
      <c r="H4466" s="1187"/>
    </row>
    <row r="4467" spans="1:8" x14ac:dyDescent="0.25">
      <c r="A4467" s="112">
        <v>45646</v>
      </c>
      <c r="B4467" s="21" t="s">
        <v>12388</v>
      </c>
      <c r="C4467" s="13" t="s">
        <v>166</v>
      </c>
      <c r="D4467" s="764"/>
      <c r="E4467" s="781"/>
      <c r="F4467" s="141">
        <v>104064</v>
      </c>
      <c r="G4467" s="782">
        <f t="shared" si="99"/>
        <v>-104064</v>
      </c>
      <c r="H4467" s="1187"/>
    </row>
    <row r="4468" spans="1:8" x14ac:dyDescent="0.25">
      <c r="A4468" s="112">
        <v>45646</v>
      </c>
      <c r="B4468" s="21" t="s">
        <v>12671</v>
      </c>
      <c r="C4468" s="13" t="s">
        <v>166</v>
      </c>
      <c r="D4468" s="764"/>
      <c r="E4468" s="781"/>
      <c r="F4468" s="141">
        <v>87831</v>
      </c>
      <c r="G4468" s="782">
        <f t="shared" si="99"/>
        <v>-87831</v>
      </c>
      <c r="H4468" s="1187"/>
    </row>
    <row r="4469" spans="1:8" x14ac:dyDescent="0.25">
      <c r="A4469" s="112">
        <v>45646</v>
      </c>
      <c r="B4469" s="21" t="s">
        <v>13240</v>
      </c>
      <c r="C4469" s="13" t="s">
        <v>166</v>
      </c>
      <c r="D4469" s="764"/>
      <c r="E4469" s="781"/>
      <c r="F4469" s="141">
        <v>47250</v>
      </c>
      <c r="G4469" s="782">
        <f t="shared" si="99"/>
        <v>-47250</v>
      </c>
      <c r="H4469" s="1187"/>
    </row>
    <row r="4470" spans="1:8" x14ac:dyDescent="0.25">
      <c r="A4470" s="112">
        <v>45646</v>
      </c>
      <c r="B4470" s="21" t="s">
        <v>13165</v>
      </c>
      <c r="C4470" s="13" t="s">
        <v>166</v>
      </c>
      <c r="D4470" s="764"/>
      <c r="E4470" s="781"/>
      <c r="F4470" s="141">
        <v>30500</v>
      </c>
      <c r="G4470" s="782">
        <f t="shared" si="99"/>
        <v>-30500</v>
      </c>
      <c r="H4470" s="1187"/>
    </row>
    <row r="4471" spans="1:8" x14ac:dyDescent="0.25">
      <c r="A4471" s="112">
        <v>45646</v>
      </c>
      <c r="B4471" s="21" t="s">
        <v>13417</v>
      </c>
      <c r="C4471" s="13" t="s">
        <v>166</v>
      </c>
      <c r="D4471" s="764"/>
      <c r="E4471" s="781"/>
      <c r="F4471" s="141">
        <v>96058</v>
      </c>
      <c r="G4471" s="782">
        <f t="shared" si="99"/>
        <v>-96058</v>
      </c>
      <c r="H4471" s="1187"/>
    </row>
    <row r="4472" spans="1:8" x14ac:dyDescent="0.25">
      <c r="A4472" s="112">
        <v>45646</v>
      </c>
      <c r="B4472" s="21" t="s">
        <v>13278</v>
      </c>
      <c r="C4472" s="13" t="s">
        <v>166</v>
      </c>
      <c r="D4472" s="764"/>
      <c r="E4472" s="781"/>
      <c r="F4472" s="141">
        <v>4902</v>
      </c>
      <c r="G4472" s="782">
        <f t="shared" si="99"/>
        <v>-4902</v>
      </c>
      <c r="H4472" s="1187"/>
    </row>
    <row r="4473" spans="1:8" x14ac:dyDescent="0.25">
      <c r="A4473" s="112">
        <v>45646</v>
      </c>
      <c r="B4473" s="21" t="s">
        <v>14539</v>
      </c>
      <c r="C4473" s="13" t="s">
        <v>166</v>
      </c>
      <c r="D4473" s="764"/>
      <c r="E4473" s="781"/>
      <c r="F4473" s="141">
        <v>532568</v>
      </c>
      <c r="G4473" s="782">
        <f t="shared" si="99"/>
        <v>-532568</v>
      </c>
      <c r="H4473" s="1187"/>
    </row>
    <row r="4474" spans="1:8" x14ac:dyDescent="0.25">
      <c r="A4474" s="112">
        <v>45646</v>
      </c>
      <c r="B4474" s="21" t="s">
        <v>14351</v>
      </c>
      <c r="C4474" s="13" t="s">
        <v>166</v>
      </c>
      <c r="D4474" s="764"/>
      <c r="E4474" s="781"/>
      <c r="F4474" s="141">
        <v>42789</v>
      </c>
      <c r="G4474" s="782">
        <f t="shared" si="99"/>
        <v>-42789</v>
      </c>
      <c r="H4474" s="1187"/>
    </row>
    <row r="4475" spans="1:8" x14ac:dyDescent="0.25">
      <c r="A4475" s="112">
        <v>45646</v>
      </c>
      <c r="B4475" s="21" t="s">
        <v>14232</v>
      </c>
      <c r="C4475" s="13" t="s">
        <v>166</v>
      </c>
      <c r="D4475" s="764"/>
      <c r="E4475" s="781"/>
      <c r="F4475" s="141">
        <v>109721</v>
      </c>
      <c r="G4475" s="782">
        <f t="shared" si="99"/>
        <v>-109721</v>
      </c>
      <c r="H4475" s="1187"/>
    </row>
    <row r="4476" spans="1:8" x14ac:dyDescent="0.25">
      <c r="A4476" s="112">
        <v>45646</v>
      </c>
      <c r="B4476" s="21" t="s">
        <v>14329</v>
      </c>
      <c r="C4476" s="13" t="s">
        <v>166</v>
      </c>
      <c r="D4476" s="764"/>
      <c r="E4476" s="781"/>
      <c r="F4476" s="141">
        <v>5871</v>
      </c>
      <c r="G4476" s="782">
        <f t="shared" si="99"/>
        <v>-5871</v>
      </c>
      <c r="H4476" s="1187"/>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88"/>
    </row>
    <row r="4478" spans="1:8" x14ac:dyDescent="0.25">
      <c r="A4478" s="112">
        <v>45646</v>
      </c>
      <c r="B4478" s="21" t="s">
        <v>6503</v>
      </c>
      <c r="C4478" s="13" t="s">
        <v>10472</v>
      </c>
      <c r="D4478" s="764"/>
      <c r="E4478" s="781"/>
      <c r="F4478" s="783">
        <v>194672</v>
      </c>
      <c r="G4478" s="782">
        <f t="shared" si="99"/>
        <v>-194672</v>
      </c>
      <c r="H4478" s="1186" t="s">
        <v>15352</v>
      </c>
    </row>
    <row r="4479" spans="1:8" x14ac:dyDescent="0.25">
      <c r="A4479" s="112">
        <v>45646</v>
      </c>
      <c r="B4479" s="21" t="s">
        <v>11068</v>
      </c>
      <c r="C4479" s="13" t="s">
        <v>10472</v>
      </c>
      <c r="D4479" s="764"/>
      <c r="E4479" s="781"/>
      <c r="F4479" s="141">
        <v>327067</v>
      </c>
      <c r="G4479" s="782">
        <f t="shared" si="99"/>
        <v>-327067</v>
      </c>
      <c r="H4479" s="1187"/>
    </row>
    <row r="4480" spans="1:8" x14ac:dyDescent="0.25">
      <c r="A4480" s="112">
        <v>45646</v>
      </c>
      <c r="B4480" s="21" t="s">
        <v>12783</v>
      </c>
      <c r="C4480" s="13" t="s">
        <v>10472</v>
      </c>
      <c r="D4480" s="764"/>
      <c r="E4480" s="781"/>
      <c r="F4480" s="141">
        <v>274418</v>
      </c>
      <c r="G4480" s="782">
        <f t="shared" si="99"/>
        <v>-274418</v>
      </c>
      <c r="H4480" s="1187"/>
    </row>
    <row r="4481" spans="1:8" x14ac:dyDescent="0.25">
      <c r="A4481" s="112">
        <v>45646</v>
      </c>
      <c r="B4481" s="21" t="s">
        <v>13519</v>
      </c>
      <c r="C4481" s="13" t="s">
        <v>10472</v>
      </c>
      <c r="D4481" s="764"/>
      <c r="E4481" s="781"/>
      <c r="F4481" s="141">
        <v>519055</v>
      </c>
      <c r="G4481" s="782">
        <f t="shared" si="99"/>
        <v>-519055</v>
      </c>
      <c r="H4481" s="1187"/>
    </row>
    <row r="4482" spans="1:8" ht="16.5" thickBot="1" x14ac:dyDescent="0.3">
      <c r="A4482" s="112">
        <v>45646</v>
      </c>
      <c r="B4482" s="21" t="s">
        <v>14351</v>
      </c>
      <c r="C4482" s="13" t="s">
        <v>10472</v>
      </c>
      <c r="D4482" s="764"/>
      <c r="E4482" s="781"/>
      <c r="F4482" s="784">
        <v>484788</v>
      </c>
      <c r="G4482" s="782">
        <f t="shared" si="99"/>
        <v>-484788</v>
      </c>
      <c r="H4482" s="1188"/>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E4489-F4489</f>
        <v>36970</v>
      </c>
      <c r="H4489" s="13"/>
    </row>
    <row r="4490" spans="1:8" x14ac:dyDescent="0.25">
      <c r="A4490" s="112">
        <v>45649</v>
      </c>
      <c r="B4490" s="21" t="s">
        <v>14539</v>
      </c>
      <c r="C4490" s="13" t="s">
        <v>8384</v>
      </c>
      <c r="D4490" s="764" t="s">
        <v>15555</v>
      </c>
      <c r="E4490" s="22">
        <v>80867</v>
      </c>
      <c r="F4490" s="19"/>
      <c r="G4490" s="782">
        <f>E4490-F4490</f>
        <v>80867</v>
      </c>
      <c r="H4490" s="53"/>
    </row>
    <row r="4491" spans="1:8" x14ac:dyDescent="0.25">
      <c r="A4491" s="112">
        <v>45650</v>
      </c>
      <c r="B4491" s="21" t="s">
        <v>13278</v>
      </c>
      <c r="C4491" s="13" t="s">
        <v>164</v>
      </c>
      <c r="D4491" s="764" t="s">
        <v>15992</v>
      </c>
      <c r="E4491" s="22">
        <v>3089</v>
      </c>
      <c r="F4491" s="19"/>
      <c r="G4491" s="782">
        <f>E4491-F4491</f>
        <v>3089</v>
      </c>
      <c r="H4491" s="53"/>
    </row>
    <row r="4492" spans="1:8" x14ac:dyDescent="0.25">
      <c r="A4492" s="112">
        <v>45652</v>
      </c>
      <c r="B4492" s="21" t="s">
        <v>15400</v>
      </c>
      <c r="C4492" s="13" t="s">
        <v>13276</v>
      </c>
      <c r="D4492" s="764" t="s">
        <v>15399</v>
      </c>
      <c r="E4492" s="22">
        <v>88450</v>
      </c>
      <c r="F4492" s="19"/>
      <c r="G4492" s="782">
        <f>E4492-F4492</f>
        <v>88450</v>
      </c>
      <c r="H4492" s="53"/>
    </row>
    <row r="4493" spans="1:8" x14ac:dyDescent="0.25">
      <c r="A4493" s="112">
        <v>45652</v>
      </c>
      <c r="B4493" s="21" t="s">
        <v>6503</v>
      </c>
      <c r="C4493" s="13" t="s">
        <v>10472</v>
      </c>
      <c r="D4493" s="764" t="s">
        <v>15622</v>
      </c>
      <c r="E4493" s="22">
        <v>92400</v>
      </c>
      <c r="F4493" s="19"/>
      <c r="G4493" s="782">
        <f>E4493-F4493</f>
        <v>92400</v>
      </c>
      <c r="H4493" s="53"/>
    </row>
    <row r="4494" spans="1:8" x14ac:dyDescent="0.25">
      <c r="A4494" s="112">
        <v>45653</v>
      </c>
      <c r="B4494" s="21" t="s">
        <v>12388</v>
      </c>
      <c r="C4494" s="13" t="s">
        <v>7240</v>
      </c>
      <c r="D4494" s="764"/>
      <c r="E4494" s="22"/>
      <c r="F4494" s="19">
        <v>400000</v>
      </c>
      <c r="G4494" s="782">
        <f t="shared" si="99"/>
        <v>-400000</v>
      </c>
      <c r="H4494" s="1186" t="s">
        <v>15394</v>
      </c>
    </row>
    <row r="4495" spans="1:8" x14ac:dyDescent="0.25">
      <c r="A4495" s="112">
        <v>45653</v>
      </c>
      <c r="B4495" s="21" t="s">
        <v>14232</v>
      </c>
      <c r="C4495" s="13" t="s">
        <v>7240</v>
      </c>
      <c r="D4495" s="764"/>
      <c r="E4495" s="22"/>
      <c r="F4495" s="19">
        <v>400000</v>
      </c>
      <c r="G4495" s="782">
        <f t="shared" si="99"/>
        <v>-400000</v>
      </c>
      <c r="H4495" s="1188"/>
    </row>
    <row r="4496" spans="1:8" x14ac:dyDescent="0.25">
      <c r="A4496" s="112">
        <v>45653</v>
      </c>
      <c r="B4496" s="21" t="s">
        <v>15257</v>
      </c>
      <c r="C4496" s="13" t="s">
        <v>7240</v>
      </c>
      <c r="D4496" s="764" t="s">
        <v>10246</v>
      </c>
      <c r="E4496" s="22">
        <v>66387</v>
      </c>
      <c r="F4496" s="109"/>
      <c r="G4496" s="782">
        <f t="shared" si="99"/>
        <v>66387</v>
      </c>
      <c r="H4496" s="342"/>
    </row>
    <row r="4497" spans="1:8" x14ac:dyDescent="0.25">
      <c r="A4497" s="112">
        <v>45653</v>
      </c>
      <c r="B4497" s="21" t="s">
        <v>11068</v>
      </c>
      <c r="C4497" s="13" t="s">
        <v>8384</v>
      </c>
      <c r="D4497" s="764" t="s">
        <v>15556</v>
      </c>
      <c r="E4497" s="22">
        <v>115792</v>
      </c>
      <c r="F4497" s="109"/>
      <c r="G4497" s="782">
        <f t="shared" si="99"/>
        <v>115792</v>
      </c>
      <c r="H4497" s="342"/>
    </row>
    <row r="4498" spans="1:8" x14ac:dyDescent="0.25">
      <c r="A4498" s="112">
        <v>45653</v>
      </c>
      <c r="B4498" s="21" t="s">
        <v>14351</v>
      </c>
      <c r="C4498" s="13" t="s">
        <v>8384</v>
      </c>
      <c r="D4498" s="764" t="s">
        <v>15557</v>
      </c>
      <c r="E4498" s="22">
        <v>95243</v>
      </c>
      <c r="F4498" s="109"/>
      <c r="G4498" s="782">
        <f t="shared" si="99"/>
        <v>95243</v>
      </c>
      <c r="H4498" s="342"/>
    </row>
    <row r="4499" spans="1:8" x14ac:dyDescent="0.25">
      <c r="A4499" s="112">
        <v>45653</v>
      </c>
      <c r="B4499" s="21" t="s">
        <v>14351</v>
      </c>
      <c r="C4499" s="13" t="s">
        <v>166</v>
      </c>
      <c r="D4499" s="764" t="s">
        <v>15569</v>
      </c>
      <c r="E4499" s="22">
        <v>16800</v>
      </c>
      <c r="F4499" s="109"/>
      <c r="G4499" s="782">
        <f t="shared" si="99"/>
        <v>16800</v>
      </c>
      <c r="H4499" s="342"/>
    </row>
    <row r="4500" spans="1:8" x14ac:dyDescent="0.25">
      <c r="A4500" s="112">
        <v>45653</v>
      </c>
      <c r="B4500" s="21" t="s">
        <v>14539</v>
      </c>
      <c r="C4500" s="13" t="s">
        <v>1062</v>
      </c>
      <c r="D4500" s="764" t="s">
        <v>15781</v>
      </c>
      <c r="E4500" s="22">
        <v>4850</v>
      </c>
      <c r="F4500" s="109"/>
      <c r="G4500" s="782">
        <f t="shared" si="99"/>
        <v>4850</v>
      </c>
      <c r="H4500" s="342"/>
    </row>
    <row r="4501" spans="1:8" x14ac:dyDescent="0.25">
      <c r="A4501" s="112">
        <v>45654</v>
      </c>
      <c r="B4501" s="21" t="s">
        <v>14232</v>
      </c>
      <c r="C4501" s="13" t="s">
        <v>12350</v>
      </c>
      <c r="D4501" s="764" t="s">
        <v>15561</v>
      </c>
      <c r="E4501" s="22">
        <v>31559</v>
      </c>
      <c r="F4501" s="109"/>
      <c r="G4501" s="782">
        <f t="shared" si="99"/>
        <v>31559</v>
      </c>
      <c r="H4501" s="342"/>
    </row>
    <row r="4502" spans="1:8" x14ac:dyDescent="0.25">
      <c r="A4502" s="112">
        <v>45654</v>
      </c>
      <c r="B4502" s="21" t="s">
        <v>13240</v>
      </c>
      <c r="C4502" s="13" t="s">
        <v>12350</v>
      </c>
      <c r="D4502" s="764" t="s">
        <v>15562</v>
      </c>
      <c r="E4502" s="22">
        <v>279000</v>
      </c>
      <c r="F4502" s="109"/>
      <c r="G4502" s="782">
        <f t="shared" si="99"/>
        <v>279000</v>
      </c>
      <c r="H4502" s="342"/>
    </row>
    <row r="4503" spans="1:8" x14ac:dyDescent="0.25">
      <c r="A4503" s="112">
        <v>45654</v>
      </c>
      <c r="B4503" s="21" t="s">
        <v>14351</v>
      </c>
      <c r="C4503" s="13" t="s">
        <v>164</v>
      </c>
      <c r="D4503" s="764" t="s">
        <v>15993</v>
      </c>
      <c r="E4503" s="22">
        <v>521</v>
      </c>
      <c r="F4503" s="109"/>
      <c r="G4503" s="782">
        <f t="shared" si="99"/>
        <v>521</v>
      </c>
      <c r="H4503" s="1181"/>
    </row>
    <row r="4504" spans="1:8" x14ac:dyDescent="0.25">
      <c r="A4504" s="112">
        <v>45657</v>
      </c>
      <c r="B4504" s="21" t="s">
        <v>15338</v>
      </c>
      <c r="C4504" s="13" t="s">
        <v>166</v>
      </c>
      <c r="D4504" s="764" t="s">
        <v>15570</v>
      </c>
      <c r="E4504" s="22">
        <v>114000</v>
      </c>
      <c r="F4504" s="109"/>
      <c r="G4504" s="782">
        <f t="shared" si="99"/>
        <v>114000</v>
      </c>
      <c r="H4504" s="342"/>
    </row>
    <row r="4505" spans="1:8" x14ac:dyDescent="0.25">
      <c r="A4505" s="112">
        <v>45658</v>
      </c>
      <c r="B4505" s="21" t="s">
        <v>12671</v>
      </c>
      <c r="C4505" s="13" t="s">
        <v>12350</v>
      </c>
      <c r="D4505" s="764"/>
      <c r="E4505" s="22"/>
      <c r="F4505" s="19">
        <v>1000000</v>
      </c>
      <c r="G4505" s="782">
        <f t="shared" si="99"/>
        <v>-1000000</v>
      </c>
      <c r="H4505" s="13" t="s">
        <v>15411</v>
      </c>
    </row>
    <row r="4506" spans="1:8" x14ac:dyDescent="0.25">
      <c r="A4506" s="112">
        <v>45658</v>
      </c>
      <c r="B4506" s="21" t="s">
        <v>15260</v>
      </c>
      <c r="C4506" s="13" t="s">
        <v>10472</v>
      </c>
      <c r="D4506" s="764" t="s">
        <v>15621</v>
      </c>
      <c r="E4506" s="781">
        <v>130372</v>
      </c>
      <c r="F4506" s="19"/>
      <c r="G4506" s="782">
        <f t="shared" si="99"/>
        <v>130372</v>
      </c>
      <c r="H4506" s="53"/>
    </row>
    <row r="4507" spans="1:8" x14ac:dyDescent="0.25">
      <c r="A4507" s="112">
        <v>45658</v>
      </c>
      <c r="B4507" s="21" t="s">
        <v>14232</v>
      </c>
      <c r="C4507" s="13" t="s">
        <v>10472</v>
      </c>
      <c r="D4507" s="764" t="s">
        <v>15623</v>
      </c>
      <c r="E4507" s="781">
        <v>225259</v>
      </c>
      <c r="F4507" s="19"/>
      <c r="G4507" s="782">
        <f t="shared" si="99"/>
        <v>225259</v>
      </c>
      <c r="H4507" s="53"/>
    </row>
    <row r="4508" spans="1:8" x14ac:dyDescent="0.25">
      <c r="A4508" s="112">
        <v>45658</v>
      </c>
      <c r="B4508" s="21" t="s">
        <v>14232</v>
      </c>
      <c r="C4508" s="13" t="s">
        <v>10472</v>
      </c>
      <c r="D4508" s="764" t="s">
        <v>15624</v>
      </c>
      <c r="E4508" s="781">
        <v>182059</v>
      </c>
      <c r="F4508" s="19"/>
      <c r="G4508" s="782">
        <f t="shared" si="99"/>
        <v>182059</v>
      </c>
      <c r="H4508" s="53"/>
    </row>
    <row r="4509" spans="1:8" x14ac:dyDescent="0.25">
      <c r="A4509" s="112">
        <v>45658</v>
      </c>
      <c r="B4509" s="21" t="s">
        <v>15310</v>
      </c>
      <c r="C4509" s="13" t="s">
        <v>8384</v>
      </c>
      <c r="D4509" s="764" t="s">
        <v>15558</v>
      </c>
      <c r="E4509" s="781">
        <v>619227</v>
      </c>
      <c r="F4509" s="19"/>
      <c r="G4509" s="782">
        <f t="shared" si="99"/>
        <v>619227</v>
      </c>
      <c r="H4509" s="53"/>
    </row>
    <row r="4510" spans="1:8" x14ac:dyDescent="0.25">
      <c r="A4510" s="112">
        <v>45658</v>
      </c>
      <c r="B4510" s="21" t="s">
        <v>15260</v>
      </c>
      <c r="C4510" s="13" t="s">
        <v>1062</v>
      </c>
      <c r="D4510" s="764" t="s">
        <v>15782</v>
      </c>
      <c r="E4510" s="781">
        <v>18000</v>
      </c>
      <c r="F4510" s="19"/>
      <c r="G4510" s="782">
        <f t="shared" si="99"/>
        <v>18000</v>
      </c>
      <c r="H4510" s="53"/>
    </row>
    <row r="4511" spans="1:8" x14ac:dyDescent="0.25">
      <c r="A4511" s="112">
        <v>45659</v>
      </c>
      <c r="B4511" s="21" t="s">
        <v>14351</v>
      </c>
      <c r="C4511" s="13" t="s">
        <v>166</v>
      </c>
      <c r="D4511" s="764" t="s">
        <v>15571</v>
      </c>
      <c r="E4511" s="781">
        <v>233030</v>
      </c>
      <c r="F4511" s="19"/>
      <c r="G4511" s="782">
        <f t="shared" si="99"/>
        <v>233030</v>
      </c>
      <c r="H4511" s="53"/>
    </row>
    <row r="4512" spans="1:8" x14ac:dyDescent="0.25">
      <c r="A4512" s="112">
        <v>45659</v>
      </c>
      <c r="B4512" s="21" t="s">
        <v>13240</v>
      </c>
      <c r="C4512" s="13" t="s">
        <v>166</v>
      </c>
      <c r="D4512" s="764" t="s">
        <v>15572</v>
      </c>
      <c r="E4512" s="781">
        <v>17556</v>
      </c>
      <c r="F4512" s="19"/>
      <c r="G4512" s="782">
        <f t="shared" si="99"/>
        <v>17556</v>
      </c>
      <c r="H4512" s="53"/>
    </row>
    <row r="4513" spans="1:8" x14ac:dyDescent="0.25">
      <c r="A4513" s="112">
        <v>45659</v>
      </c>
      <c r="B4513" s="21" t="s">
        <v>15260</v>
      </c>
      <c r="C4513" s="13" t="s">
        <v>10472</v>
      </c>
      <c r="D4513" s="764" t="s">
        <v>15625</v>
      </c>
      <c r="E4513" s="781">
        <v>67886</v>
      </c>
      <c r="F4513" s="19"/>
      <c r="G4513" s="782">
        <f t="shared" si="99"/>
        <v>67886</v>
      </c>
      <c r="H4513" s="53"/>
    </row>
    <row r="4514" spans="1:8" x14ac:dyDescent="0.25">
      <c r="A4514" s="112">
        <v>45659</v>
      </c>
      <c r="B4514" s="21" t="s">
        <v>6503</v>
      </c>
      <c r="C4514" s="13" t="s">
        <v>10472</v>
      </c>
      <c r="D4514" s="764" t="s">
        <v>15619</v>
      </c>
      <c r="E4514" s="781">
        <v>120196</v>
      </c>
      <c r="F4514" s="19"/>
      <c r="G4514" s="782">
        <f t="shared" si="99"/>
        <v>120196</v>
      </c>
      <c r="H4514" s="53"/>
    </row>
    <row r="4515" spans="1:8" x14ac:dyDescent="0.25">
      <c r="A4515" s="112">
        <v>45661</v>
      </c>
      <c r="B4515" s="21" t="s">
        <v>15260</v>
      </c>
      <c r="C4515" s="13" t="s">
        <v>1062</v>
      </c>
      <c r="D4515" s="764" t="s">
        <v>15783</v>
      </c>
      <c r="E4515" s="781">
        <v>8700</v>
      </c>
      <c r="F4515" s="19"/>
      <c r="G4515" s="782">
        <f t="shared" si="99"/>
        <v>8700</v>
      </c>
      <c r="H4515" s="53"/>
    </row>
    <row r="4516" spans="1:8" x14ac:dyDescent="0.25">
      <c r="A4516" s="112">
        <v>45663</v>
      </c>
      <c r="B4516" s="21" t="s">
        <v>13240</v>
      </c>
      <c r="C4516" s="13" t="s">
        <v>12350</v>
      </c>
      <c r="D4516" s="764" t="s">
        <v>15563</v>
      </c>
      <c r="E4516" s="781">
        <v>285019</v>
      </c>
      <c r="F4516" s="19"/>
      <c r="G4516" s="782">
        <f t="shared" si="99"/>
        <v>285019</v>
      </c>
      <c r="H4516" s="53"/>
    </row>
    <row r="4517" spans="1:8" x14ac:dyDescent="0.25">
      <c r="A4517" s="112">
        <v>45663</v>
      </c>
      <c r="B4517" s="21" t="s">
        <v>14351</v>
      </c>
      <c r="C4517" s="13" t="s">
        <v>12350</v>
      </c>
      <c r="D4517" s="764" t="s">
        <v>15564</v>
      </c>
      <c r="E4517" s="781">
        <v>2634989</v>
      </c>
      <c r="F4517" s="19"/>
      <c r="G4517" s="782">
        <f t="shared" si="99"/>
        <v>2634989</v>
      </c>
      <c r="H4517" s="53"/>
    </row>
    <row r="4518" spans="1:8" x14ac:dyDescent="0.25">
      <c r="A4518" s="112">
        <v>45663</v>
      </c>
      <c r="B4518" s="21" t="s">
        <v>14351</v>
      </c>
      <c r="C4518" s="13" t="s">
        <v>166</v>
      </c>
      <c r="D4518" s="764" t="s">
        <v>15573</v>
      </c>
      <c r="E4518" s="781">
        <v>38000</v>
      </c>
      <c r="F4518" s="19"/>
      <c r="G4518" s="782">
        <f t="shared" si="99"/>
        <v>38000</v>
      </c>
      <c r="H4518" s="53"/>
    </row>
    <row r="4519" spans="1:8" x14ac:dyDescent="0.25">
      <c r="A4519" s="112">
        <v>45663</v>
      </c>
      <c r="B4519" s="21" t="s">
        <v>13240</v>
      </c>
      <c r="C4519" s="13" t="s">
        <v>166</v>
      </c>
      <c r="D4519" s="764" t="s">
        <v>15574</v>
      </c>
      <c r="E4519" s="781">
        <v>694</v>
      </c>
      <c r="F4519" s="19"/>
      <c r="G4519" s="782">
        <f t="shared" si="99"/>
        <v>694</v>
      </c>
      <c r="H4519" s="53"/>
    </row>
    <row r="4520" spans="1:8" x14ac:dyDescent="0.25">
      <c r="A4520" s="112">
        <v>45664</v>
      </c>
      <c r="B4520" s="21" t="s">
        <v>15338</v>
      </c>
      <c r="C4520" s="13" t="s">
        <v>166</v>
      </c>
      <c r="D4520" s="764" t="s">
        <v>15575</v>
      </c>
      <c r="E4520" s="781">
        <v>142500</v>
      </c>
      <c r="F4520" s="19"/>
      <c r="G4520" s="782">
        <f t="shared" si="99"/>
        <v>142500</v>
      </c>
      <c r="H4520" s="53"/>
    </row>
    <row r="4521" spans="1:8" x14ac:dyDescent="0.25">
      <c r="A4521" s="112">
        <v>45664</v>
      </c>
      <c r="B4521" s="21" t="s">
        <v>14232</v>
      </c>
      <c r="C4521" s="13" t="s">
        <v>12350</v>
      </c>
      <c r="D4521" s="764" t="s">
        <v>15567</v>
      </c>
      <c r="E4521" s="781">
        <v>29450</v>
      </c>
      <c r="F4521" s="19"/>
      <c r="G4521" s="782">
        <f t="shared" si="99"/>
        <v>29450</v>
      </c>
      <c r="H4521" s="53"/>
    </row>
    <row r="4522" spans="1:8" x14ac:dyDescent="0.25">
      <c r="A4522" s="112">
        <v>45664</v>
      </c>
      <c r="B4522" s="21" t="s">
        <v>13240</v>
      </c>
      <c r="C4522" s="13" t="s">
        <v>12350</v>
      </c>
      <c r="D4522" s="764" t="s">
        <v>15565</v>
      </c>
      <c r="E4522" s="781">
        <v>65322</v>
      </c>
      <c r="F4522" s="19"/>
      <c r="G4522" s="782">
        <f t="shared" si="99"/>
        <v>65322</v>
      </c>
      <c r="H4522" s="53"/>
    </row>
    <row r="4523" spans="1:8" ht="16.5" thickBot="1" x14ac:dyDescent="0.3">
      <c r="A4523" s="112">
        <v>45664</v>
      </c>
      <c r="B4523" s="21" t="s">
        <v>14351</v>
      </c>
      <c r="C4523" s="13" t="s">
        <v>12350</v>
      </c>
      <c r="D4523" s="764" t="s">
        <v>15566</v>
      </c>
      <c r="E4523" s="781">
        <v>37421</v>
      </c>
      <c r="F4523" s="19"/>
      <c r="G4523" s="782">
        <f t="shared" si="99"/>
        <v>37421</v>
      </c>
      <c r="H4523" s="53"/>
    </row>
    <row r="4524" spans="1:8" ht="15.75" customHeight="1" x14ac:dyDescent="0.25">
      <c r="A4524" s="112">
        <v>45664</v>
      </c>
      <c r="B4524" s="21" t="s">
        <v>13165</v>
      </c>
      <c r="C4524" s="13" t="s">
        <v>12350</v>
      </c>
      <c r="D4524" s="764"/>
      <c r="E4524" s="781"/>
      <c r="F4524" s="783">
        <v>952500</v>
      </c>
      <c r="G4524" s="782">
        <f t="shared" si="99"/>
        <v>-952500</v>
      </c>
      <c r="H4524" s="1253" t="s">
        <v>15453</v>
      </c>
    </row>
    <row r="4525" spans="1:8" x14ac:dyDescent="0.25">
      <c r="A4525" s="112">
        <v>45664</v>
      </c>
      <c r="B4525" s="21" t="s">
        <v>13240</v>
      </c>
      <c r="C4525" s="13" t="s">
        <v>12350</v>
      </c>
      <c r="D4525" s="764"/>
      <c r="E4525" s="781"/>
      <c r="F4525" s="141">
        <v>164100</v>
      </c>
      <c r="G4525" s="782">
        <f t="shared" si="99"/>
        <v>-164100</v>
      </c>
      <c r="H4525" s="1254"/>
    </row>
    <row r="4526" spans="1:8" x14ac:dyDescent="0.25">
      <c r="A4526" s="112">
        <v>45664</v>
      </c>
      <c r="B4526" s="21" t="s">
        <v>15033</v>
      </c>
      <c r="C4526" s="13" t="s">
        <v>12350</v>
      </c>
      <c r="D4526" s="764"/>
      <c r="E4526" s="781"/>
      <c r="F4526" s="141">
        <v>74000</v>
      </c>
      <c r="G4526" s="782">
        <f t="shared" si="99"/>
        <v>-74000</v>
      </c>
      <c r="H4526" s="1254"/>
    </row>
    <row r="4527" spans="1:8" x14ac:dyDescent="0.25">
      <c r="A4527" s="112">
        <v>45664</v>
      </c>
      <c r="B4527" s="21" t="s">
        <v>12671</v>
      </c>
      <c r="C4527" s="13" t="s">
        <v>12350</v>
      </c>
      <c r="D4527" s="764"/>
      <c r="E4527" s="781"/>
      <c r="F4527" s="141">
        <v>296217</v>
      </c>
      <c r="G4527" s="782">
        <f t="shared" si="99"/>
        <v>-296217</v>
      </c>
      <c r="H4527" s="1254"/>
    </row>
    <row r="4528" spans="1:8" ht="16.5" thickBot="1" x14ac:dyDescent="0.3">
      <c r="A4528" s="112">
        <v>45664</v>
      </c>
      <c r="B4528" s="21" t="s">
        <v>11068</v>
      </c>
      <c r="C4528" s="13" t="s">
        <v>12350</v>
      </c>
      <c r="D4528" s="764"/>
      <c r="E4528" s="781"/>
      <c r="F4528" s="784">
        <v>14683</v>
      </c>
      <c r="G4528" s="782">
        <f t="shared" si="99"/>
        <v>-14683</v>
      </c>
      <c r="H4528" s="1255"/>
    </row>
    <row r="4529" spans="1:8" x14ac:dyDescent="0.25">
      <c r="A4529" s="112">
        <v>45665</v>
      </c>
      <c r="B4529" s="21" t="s">
        <v>14351</v>
      </c>
      <c r="C4529" s="13" t="s">
        <v>164</v>
      </c>
      <c r="D4529" s="764" t="s">
        <v>15955</v>
      </c>
      <c r="E4529" s="781">
        <v>16448</v>
      </c>
      <c r="F4529" s="1142"/>
      <c r="G4529" s="782">
        <f t="shared" si="99"/>
        <v>16448</v>
      </c>
      <c r="H4529" s="1177"/>
    </row>
    <row r="4530" spans="1:8" x14ac:dyDescent="0.25">
      <c r="A4530" s="112">
        <v>45666</v>
      </c>
      <c r="B4530" s="21" t="s">
        <v>15400</v>
      </c>
      <c r="C4530" s="13" t="s">
        <v>7947</v>
      </c>
      <c r="D4530" s="764" t="s">
        <v>15804</v>
      </c>
      <c r="E4530" s="781">
        <v>1825026</v>
      </c>
      <c r="F4530" s="1142"/>
      <c r="G4530" s="782">
        <f t="shared" si="99"/>
        <v>1825026</v>
      </c>
      <c r="H4530" s="1168"/>
    </row>
    <row r="4531" spans="1:8" x14ac:dyDescent="0.25">
      <c r="A4531" s="112">
        <v>45667</v>
      </c>
      <c r="B4531" s="21" t="s">
        <v>15260</v>
      </c>
      <c r="C4531" s="13" t="s">
        <v>1062</v>
      </c>
      <c r="D4531" s="764" t="s">
        <v>15784</v>
      </c>
      <c r="E4531" s="781">
        <v>7650</v>
      </c>
      <c r="F4531" s="1142"/>
      <c r="G4531" s="782">
        <f t="shared" si="99"/>
        <v>7650</v>
      </c>
      <c r="H4531" s="1057"/>
    </row>
    <row r="4532" spans="1:8" x14ac:dyDescent="0.25">
      <c r="A4532" s="112">
        <v>45668</v>
      </c>
      <c r="B4532" s="21" t="s">
        <v>11068</v>
      </c>
      <c r="C4532" s="13" t="s">
        <v>8384</v>
      </c>
      <c r="D4532" s="764" t="s">
        <v>15615</v>
      </c>
      <c r="E4532" s="781">
        <v>152222</v>
      </c>
      <c r="F4532" s="19"/>
      <c r="G4532" s="782">
        <f t="shared" si="99"/>
        <v>152222</v>
      </c>
      <c r="H4532" s="1057"/>
    </row>
    <row r="4533" spans="1:8" x14ac:dyDescent="0.25">
      <c r="A4533" s="112">
        <v>45668</v>
      </c>
      <c r="B4533" s="21" t="s">
        <v>14351</v>
      </c>
      <c r="C4533" s="13" t="s">
        <v>8384</v>
      </c>
      <c r="D4533" s="764" t="s">
        <v>10667</v>
      </c>
      <c r="E4533" s="781">
        <v>168263</v>
      </c>
      <c r="F4533" s="19"/>
      <c r="G4533" s="782">
        <f t="shared" si="99"/>
        <v>168263</v>
      </c>
      <c r="H4533" s="1057"/>
    </row>
    <row r="4534" spans="1:8" ht="16.5" thickBot="1" x14ac:dyDescent="0.3">
      <c r="A4534" s="112">
        <v>45670</v>
      </c>
      <c r="B4534" s="21" t="s">
        <v>15338</v>
      </c>
      <c r="C4534" s="13" t="s">
        <v>7240</v>
      </c>
      <c r="D4534" s="764" t="s">
        <v>10247</v>
      </c>
      <c r="E4534" s="781">
        <v>1344573</v>
      </c>
      <c r="F4534" s="19"/>
      <c r="G4534" s="782">
        <f t="shared" si="99"/>
        <v>1344573</v>
      </c>
      <c r="H4534" s="1057"/>
    </row>
    <row r="4535" spans="1:8" x14ac:dyDescent="0.25">
      <c r="A4535" s="112">
        <v>45670</v>
      </c>
      <c r="B4535" s="21" t="s">
        <v>14596</v>
      </c>
      <c r="C4535" s="13" t="s">
        <v>8384</v>
      </c>
      <c r="D4535" s="764"/>
      <c r="E4535" s="781"/>
      <c r="F4535" s="783">
        <v>200000</v>
      </c>
      <c r="G4535" s="782">
        <f t="shared" si="99"/>
        <v>-200000</v>
      </c>
      <c r="H4535" s="1186" t="s">
        <v>15559</v>
      </c>
    </row>
    <row r="4536" spans="1:8" x14ac:dyDescent="0.25">
      <c r="A4536" s="112">
        <v>45670</v>
      </c>
      <c r="B4536" s="21" t="s">
        <v>15310</v>
      </c>
      <c r="C4536" s="13" t="s">
        <v>8384</v>
      </c>
      <c r="D4536" s="764"/>
      <c r="E4536" s="781"/>
      <c r="F4536" s="151">
        <v>600000</v>
      </c>
      <c r="G4536" s="782">
        <f t="shared" si="99"/>
        <v>-600000</v>
      </c>
      <c r="H4536" s="1187"/>
    </row>
    <row r="4537" spans="1:8" ht="16.5" thickBot="1" x14ac:dyDescent="0.3">
      <c r="A4537" s="112">
        <v>45670</v>
      </c>
      <c r="B4537" s="21" t="s">
        <v>15560</v>
      </c>
      <c r="C4537" s="13" t="s">
        <v>8384</v>
      </c>
      <c r="D4537" s="764"/>
      <c r="E4537" s="781"/>
      <c r="F4537" s="295">
        <v>200000</v>
      </c>
      <c r="G4537" s="782">
        <f t="shared" si="99"/>
        <v>-200000</v>
      </c>
      <c r="H4537" s="1188"/>
    </row>
    <row r="4538" spans="1:8" x14ac:dyDescent="0.25">
      <c r="A4538" s="112">
        <v>45670</v>
      </c>
      <c r="B4538" s="21" t="s">
        <v>14351</v>
      </c>
      <c r="C4538" s="13" t="s">
        <v>164</v>
      </c>
      <c r="D4538" s="764" t="s">
        <v>15958</v>
      </c>
      <c r="E4538" s="781">
        <v>22206</v>
      </c>
      <c r="F4538" s="1178"/>
      <c r="G4538" s="782">
        <f t="shared" si="99"/>
        <v>22206</v>
      </c>
      <c r="H4538" s="1175"/>
    </row>
    <row r="4539" spans="1:8" x14ac:dyDescent="0.25">
      <c r="A4539" s="112">
        <v>45671</v>
      </c>
      <c r="B4539" s="21" t="s">
        <v>15338</v>
      </c>
      <c r="C4539" s="13" t="s">
        <v>7240</v>
      </c>
      <c r="D4539" s="764"/>
      <c r="E4539" s="22"/>
      <c r="F4539" s="19">
        <v>1000000</v>
      </c>
      <c r="G4539" s="782">
        <f t="shared" si="99"/>
        <v>-1000000</v>
      </c>
      <c r="H4539" s="13" t="s">
        <v>15394</v>
      </c>
    </row>
    <row r="4540" spans="1:8" x14ac:dyDescent="0.25">
      <c r="A4540" s="112">
        <v>45671</v>
      </c>
      <c r="B4540" s="21" t="s">
        <v>14596</v>
      </c>
      <c r="C4540" s="13" t="s">
        <v>8384</v>
      </c>
      <c r="D4540" s="764" t="s">
        <v>15616</v>
      </c>
      <c r="E4540" s="22">
        <v>5852</v>
      </c>
      <c r="F4540" s="19"/>
      <c r="G4540" s="782">
        <f t="shared" si="99"/>
        <v>5852</v>
      </c>
      <c r="H4540" s="13"/>
    </row>
    <row r="4541" spans="1:8" x14ac:dyDescent="0.25">
      <c r="A4541" s="112">
        <v>45671</v>
      </c>
      <c r="B4541" s="21" t="s">
        <v>14351</v>
      </c>
      <c r="C4541" s="13" t="s">
        <v>8384</v>
      </c>
      <c r="D4541" s="764" t="s">
        <v>15617</v>
      </c>
      <c r="E4541" s="22">
        <v>99048</v>
      </c>
      <c r="F4541" s="19"/>
      <c r="G4541" s="782">
        <f t="shared" ref="G4541:G4544" si="100">E4541-F4541</f>
        <v>99048</v>
      </c>
      <c r="H4541" s="13"/>
    </row>
    <row r="4542" spans="1:8" x14ac:dyDescent="0.25">
      <c r="A4542" s="112">
        <v>45671</v>
      </c>
      <c r="B4542" s="21" t="s">
        <v>13240</v>
      </c>
      <c r="C4542" s="13" t="s">
        <v>8384</v>
      </c>
      <c r="D4542" s="764" t="s">
        <v>8319</v>
      </c>
      <c r="E4542" s="22">
        <v>51913</v>
      </c>
      <c r="F4542" s="19"/>
      <c r="G4542" s="782">
        <f t="shared" si="100"/>
        <v>51913</v>
      </c>
      <c r="H4542" s="13"/>
    </row>
    <row r="4543" spans="1:8" x14ac:dyDescent="0.25">
      <c r="A4543" s="112">
        <v>45671</v>
      </c>
      <c r="B4543" s="21" t="s">
        <v>14351</v>
      </c>
      <c r="C4543" s="13" t="s">
        <v>1062</v>
      </c>
      <c r="D4543" s="764" t="s">
        <v>15785</v>
      </c>
      <c r="E4543" s="22">
        <v>11700</v>
      </c>
      <c r="F4543" s="19"/>
      <c r="G4543" s="782">
        <f t="shared" si="100"/>
        <v>11700</v>
      </c>
      <c r="H4543" s="13"/>
    </row>
    <row r="4544" spans="1:8" x14ac:dyDescent="0.25">
      <c r="A4544" s="112">
        <v>45671</v>
      </c>
      <c r="B4544" s="21" t="s">
        <v>15338</v>
      </c>
      <c r="C4544" s="13" t="s">
        <v>166</v>
      </c>
      <c r="D4544" s="764" t="s">
        <v>15808</v>
      </c>
      <c r="E4544" s="22">
        <v>98800</v>
      </c>
      <c r="F4544" s="19"/>
      <c r="G4544" s="782">
        <f t="shared" si="100"/>
        <v>98800</v>
      </c>
      <c r="H4544" s="13"/>
    </row>
    <row r="4545" spans="1:8" x14ac:dyDescent="0.25">
      <c r="A4545" s="112">
        <v>45673</v>
      </c>
      <c r="B4545" s="21" t="s">
        <v>15338</v>
      </c>
      <c r="C4545" s="13" t="s">
        <v>166</v>
      </c>
      <c r="D4545" s="764" t="s">
        <v>15576</v>
      </c>
      <c r="E4545" s="22">
        <v>142500</v>
      </c>
      <c r="F4545" s="19"/>
      <c r="G4545" s="782">
        <f t="shared" si="99"/>
        <v>142500</v>
      </c>
      <c r="H4545" s="13"/>
    </row>
    <row r="4546" spans="1:8" x14ac:dyDescent="0.25">
      <c r="A4546" s="112">
        <v>45673</v>
      </c>
      <c r="B4546" s="21" t="s">
        <v>11068</v>
      </c>
      <c r="C4546" s="13" t="s">
        <v>12350</v>
      </c>
      <c r="D4546" s="764" t="s">
        <v>15779</v>
      </c>
      <c r="E4546" s="781">
        <v>24000</v>
      </c>
      <c r="F4546" s="1141"/>
      <c r="G4546" s="782">
        <f t="shared" si="99"/>
        <v>24000</v>
      </c>
      <c r="H4546" s="53"/>
    </row>
    <row r="4547" spans="1:8" x14ac:dyDescent="0.25">
      <c r="A4547" s="112">
        <v>45673</v>
      </c>
      <c r="B4547" s="21" t="s">
        <v>14232</v>
      </c>
      <c r="C4547" s="13" t="s">
        <v>7240</v>
      </c>
      <c r="D4547" s="764" t="s">
        <v>8957</v>
      </c>
      <c r="E4547" s="781">
        <v>69330</v>
      </c>
      <c r="F4547" s="1141"/>
      <c r="G4547" s="782">
        <f t="shared" si="99"/>
        <v>69330</v>
      </c>
      <c r="H4547" s="53"/>
    </row>
    <row r="4548" spans="1:8" x14ac:dyDescent="0.25">
      <c r="A4548" s="112">
        <v>45674</v>
      </c>
      <c r="B4548" s="21" t="s">
        <v>14351</v>
      </c>
      <c r="C4548" s="13" t="s">
        <v>1062</v>
      </c>
      <c r="D4548" s="764" t="s">
        <v>15786</v>
      </c>
      <c r="E4548" s="781">
        <v>12500</v>
      </c>
      <c r="F4548" s="1141"/>
      <c r="G4548" s="782">
        <f t="shared" si="99"/>
        <v>12500</v>
      </c>
      <c r="H4548" s="53"/>
    </row>
    <row r="4549" spans="1:8" ht="16.5" thickBot="1" x14ac:dyDescent="0.3">
      <c r="A4549" s="112">
        <v>45674</v>
      </c>
      <c r="B4549" s="21" t="s">
        <v>14351</v>
      </c>
      <c r="C4549" s="13" t="s">
        <v>164</v>
      </c>
      <c r="D4549" s="764" t="s">
        <v>15994</v>
      </c>
      <c r="E4549" s="781">
        <v>426</v>
      </c>
      <c r="F4549" s="1141"/>
      <c r="G4549" s="782">
        <f t="shared" si="99"/>
        <v>426</v>
      </c>
      <c r="H4549" s="53"/>
    </row>
    <row r="4550" spans="1:8" x14ac:dyDescent="0.25">
      <c r="A4550" s="112">
        <v>45677</v>
      </c>
      <c r="B4550" s="21" t="s">
        <v>12671</v>
      </c>
      <c r="C4550" s="13" t="s">
        <v>13276</v>
      </c>
      <c r="D4550" s="764"/>
      <c r="E4550" s="781"/>
      <c r="F4550" s="783">
        <v>3750</v>
      </c>
      <c r="G4550" s="782">
        <f t="shared" si="99"/>
        <v>-3750</v>
      </c>
      <c r="H4550" s="1186" t="s">
        <v>15601</v>
      </c>
    </row>
    <row r="4551" spans="1:8" x14ac:dyDescent="0.25">
      <c r="A4551" s="112">
        <v>45677</v>
      </c>
      <c r="B4551" s="21" t="s">
        <v>13098</v>
      </c>
      <c r="C4551" s="13" t="s">
        <v>13276</v>
      </c>
      <c r="D4551" s="764"/>
      <c r="E4551" s="781"/>
      <c r="F4551" s="141">
        <v>85478</v>
      </c>
      <c r="G4551" s="782">
        <f t="shared" ref="G4551:G4618" si="101">E4551-F4551</f>
        <v>-85478</v>
      </c>
      <c r="H4551" s="1187"/>
    </row>
    <row r="4552" spans="1:8" x14ac:dyDescent="0.25">
      <c r="A4552" s="112">
        <v>45677</v>
      </c>
      <c r="B4552" s="21" t="s">
        <v>15033</v>
      </c>
      <c r="C4552" s="13" t="s">
        <v>13276</v>
      </c>
      <c r="D4552" s="764"/>
      <c r="E4552" s="781"/>
      <c r="F4552" s="141">
        <v>36970</v>
      </c>
      <c r="G4552" s="782">
        <f t="shared" si="101"/>
        <v>-36970</v>
      </c>
      <c r="H4552" s="1187"/>
    </row>
    <row r="4553" spans="1:8" x14ac:dyDescent="0.25">
      <c r="A4553" s="112">
        <v>45677</v>
      </c>
      <c r="B4553" s="21" t="s">
        <v>15400</v>
      </c>
      <c r="C4553" s="13" t="s">
        <v>13276</v>
      </c>
      <c r="D4553" s="764"/>
      <c r="E4553" s="781"/>
      <c r="F4553" s="141">
        <v>88450</v>
      </c>
      <c r="G4553" s="782">
        <f t="shared" si="101"/>
        <v>-88450</v>
      </c>
      <c r="H4553" s="1187"/>
    </row>
    <row r="4554" spans="1:8" ht="16.5" thickBot="1" x14ac:dyDescent="0.3">
      <c r="A4554" s="112">
        <v>45677</v>
      </c>
      <c r="B4554" s="21" t="s">
        <v>14539</v>
      </c>
      <c r="C4554" s="13" t="s">
        <v>13276</v>
      </c>
      <c r="D4554" s="764"/>
      <c r="E4554" s="781"/>
      <c r="F4554" s="784">
        <f>22821+7531</f>
        <v>30352</v>
      </c>
      <c r="G4554" s="782">
        <f t="shared" si="101"/>
        <v>-30352</v>
      </c>
      <c r="H4554" s="1188"/>
    </row>
    <row r="4555" spans="1:8" x14ac:dyDescent="0.25">
      <c r="A4555" s="112">
        <v>45677</v>
      </c>
      <c r="B4555" s="21" t="s">
        <v>14351</v>
      </c>
      <c r="C4555" s="13" t="s">
        <v>1062</v>
      </c>
      <c r="D4555" s="764" t="s">
        <v>15787</v>
      </c>
      <c r="E4555" s="781">
        <v>7800</v>
      </c>
      <c r="F4555" s="213"/>
      <c r="G4555" s="782">
        <f t="shared" si="101"/>
        <v>7800</v>
      </c>
      <c r="H4555" s="342"/>
    </row>
    <row r="4556" spans="1:8" x14ac:dyDescent="0.25">
      <c r="A4556" s="112">
        <v>45677</v>
      </c>
      <c r="B4556" s="21" t="s">
        <v>15260</v>
      </c>
      <c r="C4556" s="13" t="s">
        <v>1062</v>
      </c>
      <c r="D4556" s="764" t="s">
        <v>15788</v>
      </c>
      <c r="E4556" s="781">
        <v>1120</v>
      </c>
      <c r="F4556" s="213"/>
      <c r="G4556" s="782">
        <f t="shared" si="101"/>
        <v>1120</v>
      </c>
      <c r="H4556" s="342"/>
    </row>
    <row r="4557" spans="1:8" x14ac:dyDescent="0.25">
      <c r="A4557" s="112">
        <v>45678</v>
      </c>
      <c r="B4557" s="21" t="s">
        <v>15100</v>
      </c>
      <c r="C4557" s="13" t="s">
        <v>12350</v>
      </c>
      <c r="D4557" s="764" t="s">
        <v>15780</v>
      </c>
      <c r="E4557" s="781">
        <v>23270</v>
      </c>
      <c r="F4557" s="213"/>
      <c r="G4557" s="782">
        <f t="shared" si="101"/>
        <v>23270</v>
      </c>
      <c r="H4557" s="342"/>
    </row>
    <row r="4558" spans="1:8" x14ac:dyDescent="0.25">
      <c r="A4558" s="112">
        <v>45679</v>
      </c>
      <c r="B4558" s="21" t="s">
        <v>14351</v>
      </c>
      <c r="C4558" s="13" t="s">
        <v>8384</v>
      </c>
      <c r="D4558" s="764" t="s">
        <v>15618</v>
      </c>
      <c r="E4558" s="22">
        <v>5348</v>
      </c>
      <c r="F4558" s="111"/>
      <c r="G4558" s="14">
        <f t="shared" si="101"/>
        <v>5348</v>
      </c>
      <c r="H4558" s="13"/>
    </row>
    <row r="4559" spans="1:8" x14ac:dyDescent="0.25">
      <c r="A4559" s="112">
        <v>45679</v>
      </c>
      <c r="B4559" s="21" t="s">
        <v>11068</v>
      </c>
      <c r="C4559" s="13" t="s">
        <v>1062</v>
      </c>
      <c r="D4559" s="764" t="s">
        <v>15789</v>
      </c>
      <c r="E4559" s="22">
        <v>36900</v>
      </c>
      <c r="F4559" s="22"/>
      <c r="G4559" s="14">
        <f t="shared" si="101"/>
        <v>36900</v>
      </c>
      <c r="H4559" s="13"/>
    </row>
    <row r="4560" spans="1:8" x14ac:dyDescent="0.25">
      <c r="A4560" s="112">
        <v>45679</v>
      </c>
      <c r="B4560" s="21" t="s">
        <v>14232</v>
      </c>
      <c r="C4560" s="13" t="s">
        <v>1062</v>
      </c>
      <c r="D4560" s="764" t="s">
        <v>15790</v>
      </c>
      <c r="E4560" s="22">
        <v>14850</v>
      </c>
      <c r="F4560" s="19"/>
      <c r="G4560" s="14">
        <f t="shared" si="101"/>
        <v>14850</v>
      </c>
      <c r="H4560" s="13"/>
    </row>
    <row r="4561" spans="1:8" x14ac:dyDescent="0.25">
      <c r="A4561" s="112">
        <v>45679</v>
      </c>
      <c r="B4561" s="21" t="s">
        <v>15338</v>
      </c>
      <c r="C4561" s="13" t="s">
        <v>7240</v>
      </c>
      <c r="D4561" s="764" t="s">
        <v>8956</v>
      </c>
      <c r="E4561" s="22">
        <v>1146636</v>
      </c>
      <c r="F4561" s="19"/>
      <c r="G4561" s="14">
        <f t="shared" si="101"/>
        <v>1146636</v>
      </c>
      <c r="H4561" s="13"/>
    </row>
    <row r="4562" spans="1:8" x14ac:dyDescent="0.25">
      <c r="A4562" s="112">
        <v>45679</v>
      </c>
      <c r="B4562" s="21" t="s">
        <v>15310</v>
      </c>
      <c r="C4562" s="13" t="s">
        <v>8384</v>
      </c>
      <c r="D4562" s="764" t="s">
        <v>15909</v>
      </c>
      <c r="E4562" s="22">
        <v>410374</v>
      </c>
      <c r="F4562" s="19"/>
      <c r="G4562" s="14">
        <f t="shared" si="101"/>
        <v>410374</v>
      </c>
      <c r="H4562" s="13"/>
    </row>
    <row r="4563" spans="1:8" x14ac:dyDescent="0.25">
      <c r="A4563" s="112">
        <v>45679</v>
      </c>
      <c r="B4563" s="21" t="s">
        <v>15257</v>
      </c>
      <c r="C4563" s="13" t="s">
        <v>7240</v>
      </c>
      <c r="D4563" s="764" t="s">
        <v>10309</v>
      </c>
      <c r="E4563" s="22">
        <v>13823</v>
      </c>
      <c r="F4563" s="19"/>
      <c r="G4563" s="14">
        <f t="shared" si="101"/>
        <v>13823</v>
      </c>
      <c r="H4563" s="13"/>
    </row>
    <row r="4564" spans="1:8" x14ac:dyDescent="0.25">
      <c r="A4564" s="112">
        <v>45680</v>
      </c>
      <c r="B4564" s="21" t="s">
        <v>15100</v>
      </c>
      <c r="C4564" s="13" t="s">
        <v>8384</v>
      </c>
      <c r="D4564" s="764" t="s">
        <v>15910</v>
      </c>
      <c r="E4564" s="22">
        <v>403900</v>
      </c>
      <c r="F4564" s="19"/>
      <c r="G4564" s="14">
        <f t="shared" si="101"/>
        <v>403900</v>
      </c>
      <c r="H4564" s="13"/>
    </row>
    <row r="4565" spans="1:8" x14ac:dyDescent="0.25">
      <c r="A4565" s="112">
        <v>45680</v>
      </c>
      <c r="B4565" s="21" t="s">
        <v>14539</v>
      </c>
      <c r="C4565" s="13" t="s">
        <v>8384</v>
      </c>
      <c r="D4565" s="764" t="s">
        <v>15911</v>
      </c>
      <c r="E4565" s="22">
        <v>1851</v>
      </c>
      <c r="F4565" s="19"/>
      <c r="G4565" s="14">
        <f t="shared" si="101"/>
        <v>1851</v>
      </c>
      <c r="H4565" s="13"/>
    </row>
    <row r="4566" spans="1:8" x14ac:dyDescent="0.25">
      <c r="A4566" s="112">
        <v>45680</v>
      </c>
      <c r="B4566" s="21" t="s">
        <v>14351</v>
      </c>
      <c r="C4566" s="13" t="s">
        <v>166</v>
      </c>
      <c r="D4566" s="764" t="s">
        <v>15809</v>
      </c>
      <c r="E4566" s="22">
        <v>217813</v>
      </c>
      <c r="F4566" s="19"/>
      <c r="G4566" s="14">
        <f t="shared" si="101"/>
        <v>217813</v>
      </c>
      <c r="H4566" s="13"/>
    </row>
    <row r="4567" spans="1:8" x14ac:dyDescent="0.25">
      <c r="A4567" s="112">
        <v>45680</v>
      </c>
      <c r="B4567" s="21" t="s">
        <v>14232</v>
      </c>
      <c r="C4567" s="13" t="s">
        <v>164</v>
      </c>
      <c r="D4567" s="764" t="s">
        <v>15995</v>
      </c>
      <c r="E4567" s="22">
        <v>3134</v>
      </c>
      <c r="F4567" s="19"/>
      <c r="G4567" s="14">
        <f t="shared" si="101"/>
        <v>3134</v>
      </c>
      <c r="H4567" s="13"/>
    </row>
    <row r="4568" spans="1:8" x14ac:dyDescent="0.25">
      <c r="A4568" s="112">
        <v>45680</v>
      </c>
      <c r="B4568" s="21" t="s">
        <v>15310</v>
      </c>
      <c r="C4568" s="13" t="s">
        <v>166</v>
      </c>
      <c r="D4568" s="764" t="s">
        <v>15939</v>
      </c>
      <c r="E4568" s="22">
        <v>14000</v>
      </c>
      <c r="F4568" s="19"/>
      <c r="G4568" s="14">
        <f t="shared" si="101"/>
        <v>14000</v>
      </c>
      <c r="H4568" s="13"/>
    </row>
    <row r="4569" spans="1:8" x14ac:dyDescent="0.25">
      <c r="A4569" s="112">
        <v>45681</v>
      </c>
      <c r="B4569" s="21" t="s">
        <v>6503</v>
      </c>
      <c r="C4569" s="13" t="s">
        <v>10472</v>
      </c>
      <c r="D4569" s="764" t="s">
        <v>8956</v>
      </c>
      <c r="E4569" s="22">
        <v>48800</v>
      </c>
      <c r="F4569" s="19"/>
      <c r="G4569" s="14">
        <f t="shared" si="101"/>
        <v>48800</v>
      </c>
      <c r="H4569" s="13"/>
    </row>
    <row r="4570" spans="1:8" x14ac:dyDescent="0.25">
      <c r="A4570" s="112">
        <v>45681</v>
      </c>
      <c r="B4570" s="21" t="s">
        <v>11068</v>
      </c>
      <c r="C4570" s="13" t="s">
        <v>10472</v>
      </c>
      <c r="D4570" s="764" t="s">
        <v>8957</v>
      </c>
      <c r="E4570" s="22">
        <v>123955</v>
      </c>
      <c r="F4570" s="19"/>
      <c r="G4570" s="14">
        <f t="shared" si="101"/>
        <v>123955</v>
      </c>
      <c r="H4570" s="13"/>
    </row>
    <row r="4571" spans="1:8" x14ac:dyDescent="0.25">
      <c r="A4571" s="112">
        <v>45682</v>
      </c>
      <c r="B4571" s="21" t="s">
        <v>14232</v>
      </c>
      <c r="C4571" s="13" t="s">
        <v>7240</v>
      </c>
      <c r="D4571" s="764" t="s">
        <v>10310</v>
      </c>
      <c r="E4571" s="22">
        <v>36760</v>
      </c>
      <c r="F4571" s="19"/>
      <c r="G4571" s="14">
        <f t="shared" si="101"/>
        <v>36760</v>
      </c>
      <c r="H4571" s="13"/>
    </row>
    <row r="4572" spans="1:8" x14ac:dyDescent="0.25">
      <c r="A4572" s="112">
        <v>45684</v>
      </c>
      <c r="B4572" s="21" t="s">
        <v>14351</v>
      </c>
      <c r="C4572" s="13" t="s">
        <v>164</v>
      </c>
      <c r="D4572" s="764" t="s">
        <v>15956</v>
      </c>
      <c r="E4572" s="22">
        <v>2847</v>
      </c>
      <c r="F4572" s="19"/>
      <c r="G4572" s="14">
        <f t="shared" si="101"/>
        <v>2847</v>
      </c>
      <c r="H4572" s="13"/>
    </row>
    <row r="4573" spans="1:8" x14ac:dyDescent="0.25">
      <c r="A4573" s="112">
        <v>45685</v>
      </c>
      <c r="B4573" s="21" t="s">
        <v>14232</v>
      </c>
      <c r="C4573" s="13" t="s">
        <v>169</v>
      </c>
      <c r="D4573" s="764" t="s">
        <v>15807</v>
      </c>
      <c r="E4573" s="22">
        <v>27305</v>
      </c>
      <c r="F4573" s="19"/>
      <c r="G4573" s="14">
        <f t="shared" si="101"/>
        <v>27305</v>
      </c>
      <c r="H4573" s="13"/>
    </row>
    <row r="4574" spans="1:8" x14ac:dyDescent="0.25">
      <c r="A4574" s="112">
        <v>45685</v>
      </c>
      <c r="B4574" s="21" t="s">
        <v>14596</v>
      </c>
      <c r="C4574" s="13" t="s">
        <v>8384</v>
      </c>
      <c r="D4574" s="764" t="s">
        <v>15912</v>
      </c>
      <c r="E4574" s="22">
        <v>21385</v>
      </c>
      <c r="F4574" s="19"/>
      <c r="G4574" s="14">
        <f t="shared" si="101"/>
        <v>21385</v>
      </c>
      <c r="H4574" s="13"/>
    </row>
    <row r="4575" spans="1:8" x14ac:dyDescent="0.25">
      <c r="A4575" s="112">
        <v>45685</v>
      </c>
      <c r="B4575" s="21" t="s">
        <v>15338</v>
      </c>
      <c r="C4575" s="13" t="s">
        <v>7240</v>
      </c>
      <c r="D4575" s="764" t="s">
        <v>10419</v>
      </c>
      <c r="E4575" s="22">
        <v>145657</v>
      </c>
      <c r="F4575" s="19"/>
      <c r="G4575" s="14">
        <f t="shared" si="101"/>
        <v>145657</v>
      </c>
      <c r="H4575" s="13"/>
    </row>
    <row r="4576" spans="1:8" x14ac:dyDescent="0.25">
      <c r="A4576" s="112">
        <v>45685</v>
      </c>
      <c r="B4576" s="21" t="s">
        <v>14351</v>
      </c>
      <c r="C4576" s="13" t="s">
        <v>166</v>
      </c>
      <c r="D4576" s="764" t="s">
        <v>15987</v>
      </c>
      <c r="E4576" s="22">
        <v>19000</v>
      </c>
      <c r="F4576" s="19"/>
      <c r="G4576" s="14">
        <f t="shared" si="101"/>
        <v>19000</v>
      </c>
      <c r="H4576" s="13"/>
    </row>
    <row r="4577" spans="1:8" x14ac:dyDescent="0.25">
      <c r="A4577" s="112">
        <v>45686</v>
      </c>
      <c r="B4577" s="21" t="s">
        <v>12671</v>
      </c>
      <c r="C4577" s="13" t="s">
        <v>8384</v>
      </c>
      <c r="D4577" s="764" t="s">
        <v>15913</v>
      </c>
      <c r="E4577" s="22">
        <v>2873</v>
      </c>
      <c r="F4577" s="19"/>
      <c r="G4577" s="14">
        <f t="shared" si="101"/>
        <v>2873</v>
      </c>
      <c r="H4577" s="13"/>
    </row>
    <row r="4578" spans="1:8" x14ac:dyDescent="0.25">
      <c r="A4578" s="112">
        <v>45686</v>
      </c>
      <c r="B4578" s="21" t="s">
        <v>14232</v>
      </c>
      <c r="C4578" s="13" t="s">
        <v>10472</v>
      </c>
      <c r="D4578" s="764"/>
      <c r="E4578" s="22"/>
      <c r="F4578" s="19">
        <v>1000000</v>
      </c>
      <c r="G4578" s="14">
        <f t="shared" si="101"/>
        <v>-1000000</v>
      </c>
      <c r="H4578" s="13" t="s">
        <v>15830</v>
      </c>
    </row>
    <row r="4579" spans="1:8" x14ac:dyDescent="0.25">
      <c r="A4579" s="112">
        <v>45686</v>
      </c>
      <c r="B4579" s="21" t="s">
        <v>14351</v>
      </c>
      <c r="C4579" s="13" t="s">
        <v>10472</v>
      </c>
      <c r="D4579" s="764"/>
      <c r="E4579" s="22">
        <v>14400</v>
      </c>
      <c r="F4579" s="19"/>
      <c r="G4579" s="14">
        <f t="shared" si="101"/>
        <v>14400</v>
      </c>
      <c r="H4579" s="13"/>
    </row>
    <row r="4580" spans="1:8" x14ac:dyDescent="0.25">
      <c r="A4580" s="112">
        <v>45687</v>
      </c>
      <c r="B4580" s="21" t="s">
        <v>11068</v>
      </c>
      <c r="C4580" s="13" t="s">
        <v>12350</v>
      </c>
      <c r="D4580" s="764" t="s">
        <v>15941</v>
      </c>
      <c r="E4580" s="22">
        <v>28000</v>
      </c>
      <c r="F4580" s="19"/>
      <c r="G4580" s="14">
        <f t="shared" si="101"/>
        <v>28000</v>
      </c>
      <c r="H4580" s="13"/>
    </row>
    <row r="4581" spans="1:8" x14ac:dyDescent="0.25">
      <c r="A4581" s="112">
        <v>45688</v>
      </c>
      <c r="B4581" s="21" t="s">
        <v>14232</v>
      </c>
      <c r="C4581" s="13" t="s">
        <v>169</v>
      </c>
      <c r="D4581" s="764" t="s">
        <v>15854</v>
      </c>
      <c r="E4581" s="22">
        <v>355856</v>
      </c>
      <c r="F4581" s="19"/>
      <c r="G4581" s="14">
        <f t="shared" si="101"/>
        <v>355856</v>
      </c>
      <c r="H4581" s="13"/>
    </row>
    <row r="4582" spans="1:8" x14ac:dyDescent="0.25">
      <c r="A4582" s="112">
        <v>45688</v>
      </c>
      <c r="B4582" s="21" t="s">
        <v>11068</v>
      </c>
      <c r="C4582" s="13" t="s">
        <v>169</v>
      </c>
      <c r="D4582" s="764"/>
      <c r="E4582" s="22"/>
      <c r="F4582" s="19">
        <v>29697</v>
      </c>
      <c r="G4582" s="14">
        <f t="shared" si="101"/>
        <v>-29697</v>
      </c>
      <c r="H4582" s="1186" t="s">
        <v>15855</v>
      </c>
    </row>
    <row r="4583" spans="1:8" x14ac:dyDescent="0.25">
      <c r="A4583" s="112">
        <v>45688</v>
      </c>
      <c r="B4583" s="21" t="s">
        <v>12671</v>
      </c>
      <c r="C4583" s="13" t="s">
        <v>169</v>
      </c>
      <c r="D4583" s="764"/>
      <c r="E4583" s="22"/>
      <c r="F4583" s="19">
        <v>81000</v>
      </c>
      <c r="G4583" s="14">
        <f t="shared" si="101"/>
        <v>-81000</v>
      </c>
      <c r="H4583" s="1187"/>
    </row>
    <row r="4584" spans="1:8" x14ac:dyDescent="0.25">
      <c r="A4584" s="112">
        <v>45688</v>
      </c>
      <c r="B4584" s="21" t="s">
        <v>14568</v>
      </c>
      <c r="C4584" s="13" t="s">
        <v>169</v>
      </c>
      <c r="D4584" s="764"/>
      <c r="E4584" s="22"/>
      <c r="F4584" s="19">
        <v>147820</v>
      </c>
      <c r="G4584" s="14">
        <f t="shared" si="101"/>
        <v>-147820</v>
      </c>
      <c r="H4584" s="1187"/>
    </row>
    <row r="4585" spans="1:8" x14ac:dyDescent="0.25">
      <c r="A4585" s="112">
        <v>45688</v>
      </c>
      <c r="B4585" s="21" t="s">
        <v>14232</v>
      </c>
      <c r="C4585" s="13" t="s">
        <v>169</v>
      </c>
      <c r="D4585" s="764"/>
      <c r="E4585" s="22"/>
      <c r="F4585" s="19">
        <v>241483</v>
      </c>
      <c r="G4585" s="14">
        <f t="shared" si="101"/>
        <v>-241483</v>
      </c>
      <c r="H4585" s="1188"/>
    </row>
    <row r="4586" spans="1:8" x14ac:dyDescent="0.25">
      <c r="A4586" s="112">
        <v>45688</v>
      </c>
      <c r="B4586" s="21" t="s">
        <v>15100</v>
      </c>
      <c r="C4586" s="13" t="s">
        <v>166</v>
      </c>
      <c r="D4586" s="764" t="s">
        <v>15988</v>
      </c>
      <c r="E4586" s="22">
        <v>132000</v>
      </c>
      <c r="F4586" s="19"/>
      <c r="G4586" s="14">
        <f t="shared" si="101"/>
        <v>132000</v>
      </c>
      <c r="H4586" s="1180"/>
    </row>
    <row r="4587" spans="1:8" x14ac:dyDescent="0.25">
      <c r="A4587" s="112">
        <v>45688</v>
      </c>
      <c r="B4587" s="21" t="s">
        <v>15338</v>
      </c>
      <c r="C4587" s="13" t="s">
        <v>166</v>
      </c>
      <c r="D4587" s="764" t="s">
        <v>15989</v>
      </c>
      <c r="E4587" s="22">
        <v>47500</v>
      </c>
      <c r="F4587" s="19"/>
      <c r="G4587" s="14">
        <f t="shared" si="101"/>
        <v>47500</v>
      </c>
      <c r="H4587" s="1180"/>
    </row>
    <row r="4588" spans="1:8" x14ac:dyDescent="0.25">
      <c r="A4588" s="112">
        <v>45689</v>
      </c>
      <c r="B4588" s="21" t="s">
        <v>14351</v>
      </c>
      <c r="C4588" s="13" t="s">
        <v>1062</v>
      </c>
      <c r="D4588" s="764" t="s">
        <v>15940</v>
      </c>
      <c r="E4588" s="22">
        <v>784</v>
      </c>
      <c r="F4588" s="19"/>
      <c r="G4588" s="14">
        <f t="shared" si="101"/>
        <v>784</v>
      </c>
      <c r="H4588" s="1175"/>
    </row>
    <row r="4589" spans="1:8" x14ac:dyDescent="0.25">
      <c r="A4589" s="112">
        <v>45692</v>
      </c>
      <c r="B4589" s="21" t="s">
        <v>14232</v>
      </c>
      <c r="C4589" s="13" t="s">
        <v>1062</v>
      </c>
      <c r="D4589" s="764" t="s">
        <v>15985</v>
      </c>
      <c r="E4589" s="22">
        <v>46800</v>
      </c>
      <c r="F4589" s="19"/>
      <c r="G4589" s="14">
        <f t="shared" si="101"/>
        <v>46800</v>
      </c>
      <c r="H4589" s="1180"/>
    </row>
    <row r="4590" spans="1:8" x14ac:dyDescent="0.25">
      <c r="A4590" s="112">
        <v>45692</v>
      </c>
      <c r="B4590" s="21" t="s">
        <v>14351</v>
      </c>
      <c r="C4590" s="13" t="s">
        <v>166</v>
      </c>
      <c r="D4590" s="764" t="s">
        <v>15990</v>
      </c>
      <c r="E4590" s="22">
        <v>98090</v>
      </c>
      <c r="F4590" s="19"/>
      <c r="G4590" s="14">
        <f t="shared" si="101"/>
        <v>98090</v>
      </c>
      <c r="H4590" s="1180"/>
    </row>
    <row r="4591" spans="1:8" x14ac:dyDescent="0.25">
      <c r="A4591" s="112">
        <v>45694</v>
      </c>
      <c r="B4591" s="21" t="s">
        <v>15338</v>
      </c>
      <c r="C4591" s="13" t="s">
        <v>7240</v>
      </c>
      <c r="D4591" s="764"/>
      <c r="E4591" s="22"/>
      <c r="F4591" s="22">
        <v>550000</v>
      </c>
      <c r="G4591" s="14">
        <f t="shared" si="101"/>
        <v>-550000</v>
      </c>
      <c r="H4591" s="13" t="s">
        <v>15906</v>
      </c>
    </row>
    <row r="4592" spans="1:8" x14ac:dyDescent="0.25">
      <c r="A4592" s="112">
        <v>45695</v>
      </c>
      <c r="B4592" s="21" t="s">
        <v>15310</v>
      </c>
      <c r="C4592" s="13" t="s">
        <v>8384</v>
      </c>
      <c r="D4592" s="764"/>
      <c r="E4592" s="22"/>
      <c r="F4592" s="22">
        <v>350000</v>
      </c>
      <c r="G4592" s="14">
        <f t="shared" si="101"/>
        <v>-350000</v>
      </c>
      <c r="H4592" s="1186" t="s">
        <v>15931</v>
      </c>
    </row>
    <row r="4593" spans="1:8" x14ac:dyDescent="0.25">
      <c r="A4593" s="112">
        <v>45695</v>
      </c>
      <c r="B4593" s="21" t="s">
        <v>15100</v>
      </c>
      <c r="C4593" s="13" t="s">
        <v>8384</v>
      </c>
      <c r="D4593" s="764"/>
      <c r="E4593" s="22"/>
      <c r="F4593" s="22">
        <v>350000</v>
      </c>
      <c r="G4593" s="14">
        <f t="shared" si="101"/>
        <v>-350000</v>
      </c>
      <c r="H4593" s="1188"/>
    </row>
    <row r="4594" spans="1:8" x14ac:dyDescent="0.25">
      <c r="A4594" s="112">
        <v>45695</v>
      </c>
      <c r="B4594" s="21" t="s">
        <v>11423</v>
      </c>
      <c r="C4594" s="13" t="s">
        <v>5680</v>
      </c>
      <c r="D4594" s="764"/>
      <c r="E4594" s="22"/>
      <c r="F4594" s="19">
        <v>82756</v>
      </c>
      <c r="G4594" s="14">
        <f t="shared" si="101"/>
        <v>-82756</v>
      </c>
      <c r="H4594" s="1186" t="s">
        <v>15930</v>
      </c>
    </row>
    <row r="4595" spans="1:8" x14ac:dyDescent="0.25">
      <c r="A4595" s="112">
        <v>45695</v>
      </c>
      <c r="B4595" s="21" t="s">
        <v>11488</v>
      </c>
      <c r="C4595" s="13" t="s">
        <v>5680</v>
      </c>
      <c r="D4595" s="764"/>
      <c r="E4595" s="22"/>
      <c r="F4595" s="19">
        <v>7244</v>
      </c>
      <c r="G4595" s="14">
        <f t="shared" si="101"/>
        <v>-7244</v>
      </c>
      <c r="H4595" s="1188"/>
    </row>
    <row r="4596" spans="1:8" x14ac:dyDescent="0.25">
      <c r="A4596" s="112">
        <v>45695</v>
      </c>
      <c r="B4596" s="21" t="s">
        <v>14232</v>
      </c>
      <c r="C4596" s="13" t="s">
        <v>1062</v>
      </c>
      <c r="D4596" s="764" t="s">
        <v>15986</v>
      </c>
      <c r="E4596" s="22">
        <v>2400</v>
      </c>
      <c r="F4596" s="19"/>
      <c r="G4596" s="14">
        <f t="shared" si="101"/>
        <v>2400</v>
      </c>
      <c r="H4596" s="1180"/>
    </row>
    <row r="4597" spans="1:8" x14ac:dyDescent="0.25">
      <c r="A4597" s="112">
        <v>45695</v>
      </c>
      <c r="B4597" s="21" t="s">
        <v>14351</v>
      </c>
      <c r="C4597" s="13" t="s">
        <v>166</v>
      </c>
      <c r="D4597" s="764" t="s">
        <v>10669</v>
      </c>
      <c r="E4597" s="22">
        <v>11790</v>
      </c>
      <c r="F4597" s="19"/>
      <c r="G4597" s="14">
        <f t="shared" si="101"/>
        <v>11790</v>
      </c>
      <c r="H4597" s="1180"/>
    </row>
    <row r="4598" spans="1:8" x14ac:dyDescent="0.25">
      <c r="A4598" s="112">
        <v>45698</v>
      </c>
      <c r="B4598" s="21" t="s">
        <v>15257</v>
      </c>
      <c r="C4598" s="13" t="s">
        <v>12350</v>
      </c>
      <c r="D4598" s="764" t="s">
        <v>15965</v>
      </c>
      <c r="E4598" s="22">
        <v>3600</v>
      </c>
      <c r="F4598" s="19"/>
      <c r="G4598" s="14">
        <f t="shared" si="101"/>
        <v>3600</v>
      </c>
      <c r="H4598" s="1179"/>
    </row>
    <row r="4599" spans="1:8" x14ac:dyDescent="0.25">
      <c r="A4599" s="112">
        <v>45698</v>
      </c>
      <c r="B4599" s="21" t="s">
        <v>15338</v>
      </c>
      <c r="C4599" s="13" t="s">
        <v>166</v>
      </c>
      <c r="D4599" s="764" t="s">
        <v>15997</v>
      </c>
      <c r="E4599" s="22">
        <v>47500</v>
      </c>
      <c r="F4599" s="19"/>
      <c r="G4599" s="14">
        <f t="shared" si="101"/>
        <v>47500</v>
      </c>
      <c r="H4599" s="1183"/>
    </row>
    <row r="4600" spans="1:8" x14ac:dyDescent="0.25">
      <c r="A4600" s="112">
        <v>45698</v>
      </c>
      <c r="B4600" s="21" t="s">
        <v>14351</v>
      </c>
      <c r="C4600" s="13" t="s">
        <v>166</v>
      </c>
      <c r="D4600" s="764" t="s">
        <v>15998</v>
      </c>
      <c r="E4600" s="22">
        <v>22045</v>
      </c>
      <c r="F4600" s="19"/>
      <c r="G4600" s="14">
        <f t="shared" si="101"/>
        <v>22045</v>
      </c>
      <c r="H4600" s="1183"/>
    </row>
    <row r="4601" spans="1:8" x14ac:dyDescent="0.25">
      <c r="A4601" s="112">
        <v>45699</v>
      </c>
      <c r="B4601" s="21" t="s">
        <v>7801</v>
      </c>
      <c r="C4601" s="13" t="s">
        <v>12283</v>
      </c>
      <c r="D4601" s="764"/>
      <c r="E4601" s="22">
        <v>361845</v>
      </c>
      <c r="F4601" s="19"/>
      <c r="G4601" s="14">
        <f t="shared" si="101"/>
        <v>361845</v>
      </c>
      <c r="H4601" s="13"/>
    </row>
    <row r="4602" spans="1:8" x14ac:dyDescent="0.25">
      <c r="A4602" s="112">
        <v>45699</v>
      </c>
      <c r="B4602" s="21" t="s">
        <v>15400</v>
      </c>
      <c r="C4602" s="13" t="s">
        <v>12283</v>
      </c>
      <c r="D4602" s="764"/>
      <c r="E4602" s="22">
        <v>696900</v>
      </c>
      <c r="F4602" s="19"/>
      <c r="G4602" s="14">
        <f t="shared" si="101"/>
        <v>696900</v>
      </c>
      <c r="H4602" s="13"/>
    </row>
    <row r="4603" spans="1:8" x14ac:dyDescent="0.25">
      <c r="A4603" s="112">
        <v>45699</v>
      </c>
      <c r="B4603" s="21" t="s">
        <v>13213</v>
      </c>
      <c r="C4603" s="13" t="s">
        <v>12283</v>
      </c>
      <c r="D4603" s="764"/>
      <c r="E4603" s="22">
        <f>6400+2850</f>
        <v>9250</v>
      </c>
      <c r="F4603" s="19"/>
      <c r="G4603" s="14">
        <f t="shared" si="101"/>
        <v>9250</v>
      </c>
      <c r="H4603" s="13"/>
    </row>
    <row r="4604" spans="1:8" x14ac:dyDescent="0.25">
      <c r="A4604" s="112">
        <v>45699</v>
      </c>
      <c r="B4604" s="21" t="s">
        <v>12783</v>
      </c>
      <c r="C4604" s="13" t="s">
        <v>10472</v>
      </c>
      <c r="D4604" s="764"/>
      <c r="E4604" s="22"/>
      <c r="F4604" s="19">
        <v>496500</v>
      </c>
      <c r="G4604" s="14">
        <f t="shared" si="101"/>
        <v>-496500</v>
      </c>
      <c r="H4604" s="13" t="s">
        <v>15949</v>
      </c>
    </row>
    <row r="4605" spans="1:8" x14ac:dyDescent="0.25">
      <c r="A4605" s="112">
        <v>45699</v>
      </c>
      <c r="B4605" s="21" t="s">
        <v>11068</v>
      </c>
      <c r="C4605" s="13" t="s">
        <v>164</v>
      </c>
      <c r="D4605" s="764"/>
      <c r="E4605" s="22"/>
      <c r="F4605" s="19">
        <v>33442</v>
      </c>
      <c r="G4605" s="14">
        <f t="shared" si="101"/>
        <v>-33442</v>
      </c>
      <c r="H4605" s="1186" t="s">
        <v>15996</v>
      </c>
    </row>
    <row r="4606" spans="1:8" x14ac:dyDescent="0.25">
      <c r="A4606" s="112">
        <v>45699</v>
      </c>
      <c r="B4606" s="21" t="s">
        <v>12671</v>
      </c>
      <c r="C4606" s="13" t="s">
        <v>164</v>
      </c>
      <c r="D4606" s="764"/>
      <c r="E4606" s="22"/>
      <c r="F4606" s="19">
        <v>11859</v>
      </c>
      <c r="G4606" s="14">
        <f t="shared" si="101"/>
        <v>-11859</v>
      </c>
      <c r="H4606" s="1187"/>
    </row>
    <row r="4607" spans="1:8" x14ac:dyDescent="0.25">
      <c r="A4607" s="112">
        <v>45699</v>
      </c>
      <c r="B4607" s="21" t="s">
        <v>13417</v>
      </c>
      <c r="C4607" s="13" t="s">
        <v>164</v>
      </c>
      <c r="D4607" s="764"/>
      <c r="E4607" s="22"/>
      <c r="F4607" s="19">
        <v>70363</v>
      </c>
      <c r="G4607" s="14">
        <f t="shared" si="101"/>
        <v>-70363</v>
      </c>
      <c r="H4607" s="1187"/>
    </row>
    <row r="4608" spans="1:8" x14ac:dyDescent="0.25">
      <c r="A4608" s="112">
        <v>45699</v>
      </c>
      <c r="B4608" s="21" t="s">
        <v>13278</v>
      </c>
      <c r="C4608" s="13" t="s">
        <v>164</v>
      </c>
      <c r="D4608" s="764"/>
      <c r="E4608" s="22"/>
      <c r="F4608" s="19">
        <v>3089</v>
      </c>
      <c r="G4608" s="14">
        <f t="shared" si="101"/>
        <v>-3089</v>
      </c>
      <c r="H4608" s="1187"/>
    </row>
    <row r="4609" spans="1:8" x14ac:dyDescent="0.25">
      <c r="A4609" s="112">
        <v>45699</v>
      </c>
      <c r="B4609" s="21" t="s">
        <v>14232</v>
      </c>
      <c r="C4609" s="13" t="s">
        <v>164</v>
      </c>
      <c r="D4609" s="764"/>
      <c r="E4609" s="22"/>
      <c r="F4609" s="19">
        <v>4850</v>
      </c>
      <c r="G4609" s="14">
        <f t="shared" si="101"/>
        <v>-4850</v>
      </c>
      <c r="H4609" s="1187"/>
    </row>
    <row r="4610" spans="1:8" x14ac:dyDescent="0.25">
      <c r="A4610" s="112">
        <v>45699</v>
      </c>
      <c r="B4610" s="21" t="s">
        <v>15260</v>
      </c>
      <c r="C4610" s="13" t="s">
        <v>164</v>
      </c>
      <c r="D4610" s="764"/>
      <c r="E4610" s="22"/>
      <c r="F4610" s="19">
        <v>2333</v>
      </c>
      <c r="G4610" s="14">
        <f t="shared" si="101"/>
        <v>-2333</v>
      </c>
      <c r="H4610" s="1187"/>
    </row>
    <row r="4611" spans="1:8" x14ac:dyDescent="0.25">
      <c r="A4611" s="112">
        <v>45699</v>
      </c>
      <c r="B4611" s="21" t="s">
        <v>14351</v>
      </c>
      <c r="C4611" s="13" t="s">
        <v>164</v>
      </c>
      <c r="D4611" s="764"/>
      <c r="E4611" s="22"/>
      <c r="F4611" s="19">
        <v>24064</v>
      </c>
      <c r="G4611" s="14">
        <f t="shared" si="101"/>
        <v>-24064</v>
      </c>
      <c r="H4611" s="1188"/>
    </row>
    <row r="4612" spans="1:8" x14ac:dyDescent="0.25">
      <c r="A4612" s="112">
        <v>45699</v>
      </c>
      <c r="B4612" s="21" t="s">
        <v>14232</v>
      </c>
      <c r="C4612" s="13" t="s">
        <v>7240</v>
      </c>
      <c r="D4612" s="764" t="s">
        <v>10420</v>
      </c>
      <c r="E4612" s="22">
        <v>44190</v>
      </c>
      <c r="F4612" s="19"/>
      <c r="G4612" s="14">
        <f t="shared" si="101"/>
        <v>44190</v>
      </c>
      <c r="H4612" s="13"/>
    </row>
    <row r="4613" spans="1:8" x14ac:dyDescent="0.25">
      <c r="A4613" s="112">
        <v>45699</v>
      </c>
      <c r="B4613" s="21" t="s">
        <v>15338</v>
      </c>
      <c r="C4613" s="13" t="s">
        <v>7240</v>
      </c>
      <c r="D4613" s="764" t="s">
        <v>10421</v>
      </c>
      <c r="E4613" s="22">
        <v>59366</v>
      </c>
      <c r="F4613" s="19"/>
      <c r="G4613" s="14">
        <f t="shared" si="101"/>
        <v>59366</v>
      </c>
      <c r="H4613" s="13"/>
    </row>
    <row r="4614" spans="1:8" x14ac:dyDescent="0.25">
      <c r="A4614" s="112">
        <v>45700</v>
      </c>
      <c r="B4614" s="21" t="s">
        <v>6503</v>
      </c>
      <c r="C4614" s="13" t="s">
        <v>7465</v>
      </c>
      <c r="D4614" s="764"/>
      <c r="E4614" s="22"/>
      <c r="F4614" s="19">
        <v>500000</v>
      </c>
      <c r="G4614" s="14">
        <f t="shared" si="101"/>
        <v>-500000</v>
      </c>
      <c r="H4614" s="13" t="s">
        <v>15982</v>
      </c>
    </row>
    <row r="4615" spans="1:8" x14ac:dyDescent="0.25">
      <c r="A4615" s="112">
        <v>45701</v>
      </c>
      <c r="B4615" s="21" t="s">
        <v>11423</v>
      </c>
      <c r="C4615" s="13" t="s">
        <v>8384</v>
      </c>
      <c r="D4615" s="764" t="s">
        <v>15999</v>
      </c>
      <c r="E4615" s="22">
        <v>14432</v>
      </c>
      <c r="F4615" s="19"/>
      <c r="G4615" s="14">
        <f t="shared" si="101"/>
        <v>14432</v>
      </c>
      <c r="H4615" s="13"/>
    </row>
    <row r="4616" spans="1:8" x14ac:dyDescent="0.25">
      <c r="A4616" s="112">
        <v>45701</v>
      </c>
      <c r="B4616" s="21" t="s">
        <v>14351</v>
      </c>
      <c r="C4616" s="13" t="s">
        <v>8384</v>
      </c>
      <c r="D4616" s="764" t="s">
        <v>16000</v>
      </c>
      <c r="E4616" s="22">
        <v>25453</v>
      </c>
      <c r="F4616" s="19"/>
      <c r="G4616" s="14">
        <f t="shared" si="101"/>
        <v>25453</v>
      </c>
      <c r="H4616" s="13"/>
    </row>
    <row r="4617" spans="1:8" x14ac:dyDescent="0.25">
      <c r="A4617" s="112">
        <v>45701</v>
      </c>
      <c r="B4617" s="21" t="s">
        <v>11068</v>
      </c>
      <c r="C4617" s="13" t="s">
        <v>8384</v>
      </c>
      <c r="D4617" s="764" t="s">
        <v>16001</v>
      </c>
      <c r="E4617" s="22">
        <v>193405</v>
      </c>
      <c r="F4617" s="19"/>
      <c r="G4617" s="14">
        <f t="shared" si="101"/>
        <v>193405</v>
      </c>
      <c r="H4617" s="13"/>
    </row>
    <row r="4618" spans="1:8" x14ac:dyDescent="0.25">
      <c r="A4618" s="112">
        <v>45703</v>
      </c>
      <c r="B4618" s="21" t="s">
        <v>14596</v>
      </c>
      <c r="C4618" s="13" t="s">
        <v>8384</v>
      </c>
      <c r="D4618" s="764" t="s">
        <v>16002</v>
      </c>
      <c r="E4618" s="22">
        <v>29373</v>
      </c>
      <c r="F4618" s="19"/>
      <c r="G4618" s="14">
        <f t="shared" si="101"/>
        <v>29373</v>
      </c>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row r="4667" spans="1:8" x14ac:dyDescent="0.25">
      <c r="A4667" s="13"/>
      <c r="B4667" s="21"/>
      <c r="C4667" s="13"/>
      <c r="D4667" s="764"/>
      <c r="E4667" s="22"/>
      <c r="F4667" s="19"/>
      <c r="G4667" s="14"/>
      <c r="H4667" s="13"/>
    </row>
    <row r="4668" spans="1:8" x14ac:dyDescent="0.25">
      <c r="A4668" s="13"/>
      <c r="B4668" s="21"/>
      <c r="C4668" s="13"/>
      <c r="D4668" s="764"/>
      <c r="E4668" s="22"/>
      <c r="F4668" s="19"/>
      <c r="G4668" s="14"/>
      <c r="H4668" s="13"/>
    </row>
    <row r="4669" spans="1:8" x14ac:dyDescent="0.25">
      <c r="A4669" s="13"/>
      <c r="B4669" s="21"/>
      <c r="C4669" s="13"/>
      <c r="D4669" s="764"/>
      <c r="E4669" s="22"/>
      <c r="F4669" s="19"/>
      <c r="G4669" s="14"/>
      <c r="H4669" s="13"/>
    </row>
    <row r="4670" spans="1:8" x14ac:dyDescent="0.25">
      <c r="A4670" s="13"/>
      <c r="B4670" s="21"/>
      <c r="C4670" s="13"/>
      <c r="D4670" s="764"/>
      <c r="E4670" s="22"/>
      <c r="F4670" s="19"/>
      <c r="G4670" s="14"/>
      <c r="H4670" s="13"/>
    </row>
    <row r="4671" spans="1:8" x14ac:dyDescent="0.25">
      <c r="A4671" s="13"/>
      <c r="B4671" s="21"/>
      <c r="C4671" s="13"/>
      <c r="D4671" s="764"/>
      <c r="E4671" s="22"/>
      <c r="F4671" s="19"/>
      <c r="G4671" s="14"/>
      <c r="H4671" s="13"/>
    </row>
    <row r="4672" spans="1:8" x14ac:dyDescent="0.25">
      <c r="A4672" s="13"/>
      <c r="B4672" s="21"/>
      <c r="C4672" s="13"/>
      <c r="D4672" s="764"/>
      <c r="E4672" s="22"/>
      <c r="F4672" s="19"/>
      <c r="G4672" s="14"/>
      <c r="H4672" s="13"/>
    </row>
    <row r="4673" spans="1:8" x14ac:dyDescent="0.25">
      <c r="A4673" s="13"/>
      <c r="B4673" s="21"/>
      <c r="C4673" s="13"/>
      <c r="D4673" s="764"/>
      <c r="E4673" s="22"/>
      <c r="F4673" s="19"/>
      <c r="G4673" s="14"/>
      <c r="H4673" s="13"/>
    </row>
    <row r="4674" spans="1:8" x14ac:dyDescent="0.25">
      <c r="A4674" s="13"/>
      <c r="B4674" s="21"/>
      <c r="C4674" s="13"/>
      <c r="D4674" s="764"/>
      <c r="E4674" s="22"/>
      <c r="F4674" s="19"/>
      <c r="G4674" s="14"/>
      <c r="H4674" s="13"/>
    </row>
    <row r="4675" spans="1:8" x14ac:dyDescent="0.25">
      <c r="A4675" s="13"/>
      <c r="B4675" s="21"/>
      <c r="C4675" s="13"/>
      <c r="D4675" s="764"/>
      <c r="E4675" s="22"/>
      <c r="F4675" s="19"/>
      <c r="G4675" s="14"/>
      <c r="H4675" s="13"/>
    </row>
    <row r="4676" spans="1:8" x14ac:dyDescent="0.25">
      <c r="A4676" s="13"/>
      <c r="B4676" s="21"/>
      <c r="C4676" s="13"/>
      <c r="D4676" s="764"/>
      <c r="E4676" s="22"/>
      <c r="F4676" s="19"/>
      <c r="G4676" s="14"/>
      <c r="H4676" s="13"/>
    </row>
    <row r="4677" spans="1:8" x14ac:dyDescent="0.25">
      <c r="A4677" s="13"/>
      <c r="B4677" s="21"/>
      <c r="C4677" s="13"/>
      <c r="D4677" s="764"/>
      <c r="E4677" s="22"/>
      <c r="F4677" s="19"/>
      <c r="G4677" s="14"/>
      <c r="H4677" s="13"/>
    </row>
    <row r="4678" spans="1:8" x14ac:dyDescent="0.25">
      <c r="A4678" s="13"/>
      <c r="B4678" s="21"/>
      <c r="C4678" s="13"/>
      <c r="D4678" s="764"/>
      <c r="E4678" s="22"/>
      <c r="F4678" s="19"/>
      <c r="G4678" s="14"/>
      <c r="H4678" s="13"/>
    </row>
    <row r="4679" spans="1:8" x14ac:dyDescent="0.25">
      <c r="A4679" s="13"/>
      <c r="B4679" s="21"/>
      <c r="C4679" s="13"/>
      <c r="D4679" s="764"/>
      <c r="E4679" s="22"/>
      <c r="F4679" s="19"/>
      <c r="G4679" s="14"/>
      <c r="H4679" s="13"/>
    </row>
    <row r="4680" spans="1:8" x14ac:dyDescent="0.25">
      <c r="A4680" s="13"/>
      <c r="B4680" s="21"/>
      <c r="C4680" s="13"/>
      <c r="D4680" s="764"/>
      <c r="E4680" s="22"/>
      <c r="F4680" s="19"/>
      <c r="G4680" s="14"/>
      <c r="H4680" s="13"/>
    </row>
    <row r="4681" spans="1:8" x14ac:dyDescent="0.25">
      <c r="A4681" s="13"/>
      <c r="B4681" s="21"/>
      <c r="C4681" s="13"/>
      <c r="D4681" s="764"/>
      <c r="E4681" s="22"/>
      <c r="F4681" s="19"/>
      <c r="G4681" s="14"/>
      <c r="H4681" s="13"/>
    </row>
    <row r="4682" spans="1:8" x14ac:dyDescent="0.25">
      <c r="A4682" s="13"/>
      <c r="B4682" s="21"/>
      <c r="C4682" s="13"/>
      <c r="D4682" s="764"/>
      <c r="E4682" s="22"/>
      <c r="F4682" s="19"/>
      <c r="G4682" s="14"/>
      <c r="H4682" s="13"/>
    </row>
    <row r="4683" spans="1:8" x14ac:dyDescent="0.25">
      <c r="A4683" s="13"/>
      <c r="B4683" s="21"/>
      <c r="C4683" s="13"/>
      <c r="D4683" s="764"/>
      <c r="E4683" s="22"/>
      <c r="F4683" s="19"/>
      <c r="G4683" s="14"/>
      <c r="H4683" s="13"/>
    </row>
    <row r="4684" spans="1:8" x14ac:dyDescent="0.25">
      <c r="A4684" s="13"/>
      <c r="B4684" s="21"/>
      <c r="C4684" s="13"/>
      <c r="D4684" s="764"/>
      <c r="E4684" s="22"/>
      <c r="F4684" s="19"/>
      <c r="G4684" s="14"/>
      <c r="H4684" s="13"/>
    </row>
    <row r="4685" spans="1:8" x14ac:dyDescent="0.25">
      <c r="A4685" s="13"/>
      <c r="B4685" s="21"/>
      <c r="C4685" s="13"/>
      <c r="D4685" s="764"/>
      <c r="E4685" s="22"/>
      <c r="F4685" s="19"/>
      <c r="G4685" s="14"/>
      <c r="H4685" s="13"/>
    </row>
    <row r="4686" spans="1:8" x14ac:dyDescent="0.25">
      <c r="A4686" s="13"/>
      <c r="B4686" s="21"/>
      <c r="C4686" s="13"/>
      <c r="D4686" s="764"/>
      <c r="E4686" s="22"/>
      <c r="F4686" s="19"/>
      <c r="G4686" s="14"/>
      <c r="H4686" s="13"/>
    </row>
    <row r="4687" spans="1:8" x14ac:dyDescent="0.25">
      <c r="A4687" s="13"/>
      <c r="B4687" s="21"/>
      <c r="C4687" s="13"/>
      <c r="D4687" s="764"/>
      <c r="E4687" s="22"/>
      <c r="F4687" s="19"/>
      <c r="G4687" s="14"/>
      <c r="H4687" s="13"/>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sheetData>
  <autoFilter ref="A1:XFC4614" xr:uid="{00000000-0009-0000-0000-000003000000}"/>
  <sortState ref="A2328:H2412">
    <sortCondition ref="A2328:A2412"/>
  </sortState>
  <mergeCells count="181">
    <mergeCell ref="H4594:H4595"/>
    <mergeCell ref="H4592:H4593"/>
    <mergeCell ref="H2200:H2201"/>
    <mergeCell ref="H2304:H2307"/>
    <mergeCell ref="H2773:H2776"/>
    <mergeCell ref="H2915:H2916"/>
    <mergeCell ref="H4535:H4537"/>
    <mergeCell ref="H4368:H4378"/>
    <mergeCell ref="H4524:H4528"/>
    <mergeCell ref="H3875:H3884"/>
    <mergeCell ref="H4494:H4495"/>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4415:H4417"/>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3686:H368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3716:H3722"/>
    <mergeCell ref="H3559:H3560"/>
    <mergeCell ref="H4605:H4611"/>
    <mergeCell ref="H4582:H4585"/>
    <mergeCell ref="H4550:H4554"/>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2"/>
  <sheetViews>
    <sheetView zoomScaleNormal="100" workbookViewId="0">
      <pane ySplit="1" topLeftCell="A2" activePane="bottomLeft" state="frozen"/>
      <selection activeCell="D26" sqref="D26"/>
      <selection pane="bottomLeft" activeCell="I2" sqref="I2"/>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4" t="s">
        <v>16003</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14" s="4" customFormat="1" x14ac:dyDescent="0.3">
      <c r="A3" s="1172" t="s">
        <v>14568</v>
      </c>
      <c r="B3" s="1017"/>
      <c r="C3" s="1063"/>
      <c r="D3" s="1017">
        <f t="shared" ref="D3" si="6">C3*B3</f>
        <v>0</v>
      </c>
      <c r="E3" s="1017">
        <f t="shared" ref="E3" si="7">B3-D3</f>
        <v>0</v>
      </c>
      <c r="F3" s="1018"/>
      <c r="G3" s="1018"/>
      <c r="H3" s="1018">
        <f t="shared" ref="H3" si="8">G3+F3</f>
        <v>0</v>
      </c>
      <c r="I3" s="1017">
        <f t="shared" ref="I3" si="9">H3*4.5%</f>
        <v>0</v>
      </c>
      <c r="J3" s="1017">
        <f t="shared" ref="J3" si="10">I3+H3</f>
        <v>0</v>
      </c>
      <c r="K3" s="1018">
        <f ca="1">SUMIF(Posting!$B:$F,A3,Posting!$F:$F)</f>
        <v>5042256</v>
      </c>
      <c r="L3" s="1018">
        <f t="shared" ref="L3" ca="1" si="11">J3-K3</f>
        <v>-5042256</v>
      </c>
      <c r="N3" s="244"/>
    </row>
    <row r="4" spans="1:14" s="4" customFormat="1" x14ac:dyDescent="0.3">
      <c r="A4" s="1172" t="s">
        <v>15856</v>
      </c>
      <c r="B4" s="1017"/>
      <c r="C4" s="1063"/>
      <c r="D4" s="1017">
        <f t="shared" ref="D4:D6" si="12">C4*B4</f>
        <v>0</v>
      </c>
      <c r="E4" s="1017">
        <f t="shared" ref="E4:E6" si="13">B4-D4</f>
        <v>0</v>
      </c>
      <c r="F4" s="1018"/>
      <c r="G4" s="1018"/>
      <c r="H4" s="1018">
        <f t="shared" ref="H4:H6" si="14">G4+F4</f>
        <v>0</v>
      </c>
      <c r="I4" s="1017">
        <f t="shared" ref="I4:I6" si="15">H4*4.5%</f>
        <v>0</v>
      </c>
      <c r="J4" s="1017">
        <f t="shared" ref="J4:J6" si="16">I4+H4</f>
        <v>0</v>
      </c>
      <c r="K4" s="1018">
        <f ca="1">SUMIF(Posting!$B:$F,A4,Posting!$F:$F)</f>
        <v>0</v>
      </c>
      <c r="L4" s="1018">
        <f t="shared" ref="L4:L6" ca="1" si="17">J4-K4</f>
        <v>0</v>
      </c>
      <c r="N4" s="244"/>
    </row>
    <row r="5" spans="1:14" s="4" customFormat="1" x14ac:dyDescent="0.3">
      <c r="A5" s="1172" t="s">
        <v>15310</v>
      </c>
      <c r="B5" s="1017"/>
      <c r="C5" s="1063"/>
      <c r="D5" s="1017">
        <f t="shared" si="12"/>
        <v>0</v>
      </c>
      <c r="E5" s="1017">
        <f t="shared" si="13"/>
        <v>0</v>
      </c>
      <c r="F5" s="1018"/>
      <c r="G5" s="1018"/>
      <c r="H5" s="1018">
        <f t="shared" si="14"/>
        <v>0</v>
      </c>
      <c r="I5" s="1017">
        <f t="shared" si="15"/>
        <v>0</v>
      </c>
      <c r="J5" s="1017">
        <f t="shared" si="16"/>
        <v>0</v>
      </c>
      <c r="K5" s="1018">
        <f ca="1">SUMIF(Posting!$B:$F,A5,Posting!$F:$F)</f>
        <v>0</v>
      </c>
      <c r="L5" s="1018">
        <f t="shared" ca="1" si="17"/>
        <v>0</v>
      </c>
      <c r="N5" s="244"/>
    </row>
    <row r="6" spans="1:14" s="4" customFormat="1" x14ac:dyDescent="0.3">
      <c r="A6" s="1172" t="s">
        <v>15257</v>
      </c>
      <c r="B6" s="1017"/>
      <c r="C6" s="1063"/>
      <c r="D6" s="1017">
        <f t="shared" si="12"/>
        <v>0</v>
      </c>
      <c r="E6" s="1017">
        <f t="shared" si="13"/>
        <v>0</v>
      </c>
      <c r="F6" s="1018"/>
      <c r="G6" s="1018"/>
      <c r="H6" s="1018">
        <f t="shared" si="14"/>
        <v>0</v>
      </c>
      <c r="I6" s="1017">
        <f t="shared" si="15"/>
        <v>0</v>
      </c>
      <c r="J6" s="1017">
        <f t="shared" si="16"/>
        <v>0</v>
      </c>
      <c r="K6" s="1018">
        <f ca="1">SUMIF(Posting!$B:$F,A6,Posting!$F:$F)</f>
        <v>8508670</v>
      </c>
      <c r="L6" s="1018">
        <f t="shared" ca="1" si="17"/>
        <v>-8508670</v>
      </c>
      <c r="N6" s="244"/>
    </row>
    <row r="7" spans="1:14" s="4" customFormat="1" x14ac:dyDescent="0.3">
      <c r="A7" s="1051" t="s">
        <v>13297</v>
      </c>
      <c r="B7" s="1017">
        <v>2880705</v>
      </c>
      <c r="C7" s="1063">
        <v>7.0000000000000007E-2</v>
      </c>
      <c r="D7" s="1017">
        <f t="shared" ref="D7:D10" si="18">C7*B7</f>
        <v>201649.35</v>
      </c>
      <c r="E7" s="1017">
        <f t="shared" ref="E7" si="19">B7-D7</f>
        <v>2679055.65</v>
      </c>
      <c r="F7" s="1018"/>
      <c r="G7" s="1018"/>
      <c r="H7" s="1018">
        <f t="shared" ref="H7" si="20">G7+F7</f>
        <v>0</v>
      </c>
      <c r="I7" s="1017">
        <f t="shared" ref="I7" si="21">H7*4.5%</f>
        <v>0</v>
      </c>
      <c r="J7" s="1017">
        <f t="shared" ref="J7" si="22">I7+H7</f>
        <v>0</v>
      </c>
      <c r="K7" s="1018">
        <f ca="1">SUMIF(Posting!$B:$F,A7,Posting!$F:$F)</f>
        <v>2148981</v>
      </c>
      <c r="L7" s="1018">
        <f t="shared" ref="L7" ca="1" si="23">J7-K7</f>
        <v>-2148981</v>
      </c>
      <c r="N7" s="244"/>
    </row>
    <row r="8" spans="1:14" s="4" customFormat="1" x14ac:dyDescent="0.3">
      <c r="A8" s="1051" t="s">
        <v>13279</v>
      </c>
      <c r="B8" s="1017">
        <v>1884625</v>
      </c>
      <c r="C8" s="1063">
        <v>0.1</v>
      </c>
      <c r="D8" s="1017">
        <f t="shared" si="18"/>
        <v>188462.5</v>
      </c>
      <c r="E8" s="1017">
        <f t="shared" ref="E8" si="24">B8-D8</f>
        <v>1696162.5</v>
      </c>
      <c r="F8" s="1018"/>
      <c r="G8" s="1018"/>
      <c r="H8" s="1018">
        <f t="shared" ref="H8" si="25">G8+F8</f>
        <v>0</v>
      </c>
      <c r="I8" s="1017">
        <f t="shared" ref="I8" si="26">H8*4.5%</f>
        <v>0</v>
      </c>
      <c r="J8" s="1017">
        <f t="shared" ref="J8" si="27">I8+H8</f>
        <v>0</v>
      </c>
      <c r="K8" s="1018">
        <f ca="1">SUMIF(Posting!$B:$F,A8,Posting!$F:$F)</f>
        <v>1358848</v>
      </c>
      <c r="L8" s="1018">
        <f t="shared" ref="L8" ca="1" si="28">J8-K8</f>
        <v>-1358848</v>
      </c>
      <c r="N8" s="244"/>
    </row>
    <row r="9" spans="1:14" s="4" customFormat="1" x14ac:dyDescent="0.3">
      <c r="A9" s="1051" t="s">
        <v>13904</v>
      </c>
      <c r="B9" s="1017">
        <v>6181940</v>
      </c>
      <c r="C9" s="1063">
        <v>0.08</v>
      </c>
      <c r="D9" s="1017">
        <f t="shared" si="18"/>
        <v>494555.2</v>
      </c>
      <c r="E9" s="1017">
        <f t="shared" ref="E9" si="29">B9-D9</f>
        <v>5687384.7999999998</v>
      </c>
      <c r="F9" s="1018"/>
      <c r="G9" s="1018"/>
      <c r="H9" s="1018">
        <f t="shared" ref="H9" si="30">G9+F9</f>
        <v>0</v>
      </c>
      <c r="I9" s="1017">
        <f t="shared" ref="I9" si="31">H9*4.5%</f>
        <v>0</v>
      </c>
      <c r="J9" s="1017">
        <f t="shared" ref="J9" si="32">I9+H9</f>
        <v>0</v>
      </c>
      <c r="K9" s="1018">
        <f ca="1">SUMIF(Posting!$B:$F,A9,Posting!$F:$F)</f>
        <v>5645132</v>
      </c>
      <c r="L9" s="1018">
        <f t="shared" ref="L9" ca="1" si="33">J9-K9</f>
        <v>-5645132</v>
      </c>
      <c r="M9" s="4" t="s">
        <v>14195</v>
      </c>
      <c r="N9" s="244"/>
    </row>
    <row r="10" spans="1:14" s="4" customFormat="1" x14ac:dyDescent="0.3">
      <c r="A10" s="1051" t="s">
        <v>13213</v>
      </c>
      <c r="B10" s="1017">
        <v>47244460.5</v>
      </c>
      <c r="C10" s="1063">
        <v>0.08</v>
      </c>
      <c r="D10" s="1017">
        <f t="shared" si="18"/>
        <v>3779556.84</v>
      </c>
      <c r="E10" s="1017">
        <f t="shared" ref="E10" si="34">B10-D10</f>
        <v>43464903.659999996</v>
      </c>
      <c r="F10" s="1018"/>
      <c r="G10" s="1018"/>
      <c r="H10" s="1018">
        <f t="shared" ref="H10" si="35">G10+F10</f>
        <v>0</v>
      </c>
      <c r="I10" s="1017">
        <f t="shared" ref="I10" si="36">H10*4.5%</f>
        <v>0</v>
      </c>
      <c r="J10" s="1017">
        <f t="shared" ref="J10" si="37">I10+H10</f>
        <v>0</v>
      </c>
      <c r="K10" s="1018">
        <f ca="1">SUMIF(Posting!$B:$F,A10,Posting!$F:$F)</f>
        <v>27277412</v>
      </c>
      <c r="L10" s="1018">
        <f t="shared" ref="L10" ca="1" si="38">J10-K10</f>
        <v>-27277412</v>
      </c>
      <c r="M10" s="4" t="s">
        <v>14195</v>
      </c>
      <c r="N10" s="244"/>
    </row>
    <row r="11" spans="1:14" s="4" customFormat="1" x14ac:dyDescent="0.3">
      <c r="A11" s="1051" t="s">
        <v>13165</v>
      </c>
      <c r="B11" s="1017">
        <v>28834775</v>
      </c>
      <c r="C11" s="1064" t="s">
        <v>12639</v>
      </c>
      <c r="D11" s="1017">
        <f>B11-E11</f>
        <v>4334775</v>
      </c>
      <c r="E11" s="1017">
        <v>24500000</v>
      </c>
      <c r="F11" s="1018"/>
      <c r="G11" s="1018"/>
      <c r="H11" s="1018">
        <f t="shared" ref="H11" si="39">G11+F11</f>
        <v>0</v>
      </c>
      <c r="I11" s="1017">
        <f t="shared" ref="I11" si="40">H11*4.5%</f>
        <v>0</v>
      </c>
      <c r="J11" s="1017">
        <f t="shared" ref="J11" si="41">I11+H11</f>
        <v>0</v>
      </c>
      <c r="K11" s="1018">
        <f ca="1">SUMIF(Posting!$B:$F,A11,Posting!$F:$F)</f>
        <v>6001008</v>
      </c>
      <c r="L11" s="1018">
        <f t="shared" ref="L11" ca="1" si="42">J11-K11</f>
        <v>-6001008</v>
      </c>
      <c r="N11" s="244"/>
    </row>
    <row r="12" spans="1:14" s="4" customFormat="1" x14ac:dyDescent="0.3">
      <c r="A12" s="1051" t="s">
        <v>13240</v>
      </c>
      <c r="B12" s="1017">
        <v>18946080</v>
      </c>
      <c r="C12" s="1063">
        <v>0.15</v>
      </c>
      <c r="D12" s="1017">
        <f>C12*B12</f>
        <v>2841912</v>
      </c>
      <c r="E12" s="1017">
        <f t="shared" ref="E12" si="43">B12-D12</f>
        <v>16104168</v>
      </c>
      <c r="F12" s="1018"/>
      <c r="G12" s="1018"/>
      <c r="H12" s="1018">
        <f t="shared" ref="H12" si="44">G12+F12</f>
        <v>0</v>
      </c>
      <c r="I12" s="1017">
        <f t="shared" ref="I12" si="45">H12*4.5%</f>
        <v>0</v>
      </c>
      <c r="J12" s="1017">
        <f t="shared" ref="J12" si="46">I12+H12</f>
        <v>0</v>
      </c>
      <c r="K12" s="1018">
        <f ca="1">SUMIF(Posting!$B:$F,A12,Posting!$F:$F)</f>
        <v>8907586</v>
      </c>
      <c r="L12" s="1018">
        <f t="shared" ref="L12" ca="1" si="47">J12-K12</f>
        <v>-8907586</v>
      </c>
      <c r="M12" s="4" t="s">
        <v>14195</v>
      </c>
      <c r="N12" s="244"/>
    </row>
    <row r="13" spans="1:14" s="4" customFormat="1" x14ac:dyDescent="0.3">
      <c r="A13" s="1051" t="s">
        <v>14196</v>
      </c>
      <c r="B13" s="1017">
        <v>9488782</v>
      </c>
      <c r="C13" s="1064" t="s">
        <v>12639</v>
      </c>
      <c r="D13" s="1017">
        <f>B13-E13</f>
        <v>1688782</v>
      </c>
      <c r="E13" s="1017">
        <v>7800000</v>
      </c>
      <c r="F13" s="1018"/>
      <c r="G13" s="1018"/>
      <c r="H13" s="1018">
        <f t="shared" ref="H13:H14" si="48">G13+F13</f>
        <v>0</v>
      </c>
      <c r="I13" s="1017">
        <f t="shared" ref="I13:I14" si="49">H13*4.5%</f>
        <v>0</v>
      </c>
      <c r="J13" s="1017">
        <f t="shared" ref="J13:J14" si="50">I13+H13</f>
        <v>0</v>
      </c>
      <c r="K13" s="1018">
        <f ca="1">SUMIF(Posting!$B:$F,A13,Posting!$F:$F)</f>
        <v>9167409</v>
      </c>
      <c r="L13" s="1018">
        <f t="shared" ref="L13:L14" ca="1" si="51">J13-K13</f>
        <v>-9167409</v>
      </c>
      <c r="M13" s="4" t="s">
        <v>14195</v>
      </c>
      <c r="N13" s="244"/>
    </row>
    <row r="14" spans="1:14" s="4" customFormat="1" x14ac:dyDescent="0.3">
      <c r="A14" s="1051" t="s">
        <v>15257</v>
      </c>
      <c r="B14" s="1017"/>
      <c r="C14" s="1063">
        <v>0.1</v>
      </c>
      <c r="D14" s="1017">
        <f>C14*B14</f>
        <v>0</v>
      </c>
      <c r="E14" s="1017">
        <v>21222190.550000001</v>
      </c>
      <c r="F14" s="1018"/>
      <c r="G14" s="1018"/>
      <c r="H14" s="1018">
        <f t="shared" si="48"/>
        <v>0</v>
      </c>
      <c r="I14" s="1017">
        <f t="shared" si="49"/>
        <v>0</v>
      </c>
      <c r="J14" s="1017">
        <f t="shared" si="50"/>
        <v>0</v>
      </c>
      <c r="K14" s="1018">
        <f ca="1">SUMIF(Posting!$B:$F,A14,Posting!$F:$F)</f>
        <v>8508670</v>
      </c>
      <c r="L14" s="1018">
        <f t="shared" ca="1" si="51"/>
        <v>-8508670</v>
      </c>
      <c r="N14" s="244"/>
    </row>
    <row r="15" spans="1:14" s="4" customFormat="1" x14ac:dyDescent="0.3">
      <c r="A15" s="1051" t="s">
        <v>12388</v>
      </c>
      <c r="B15" s="1017"/>
      <c r="C15" s="1063">
        <v>0.1</v>
      </c>
      <c r="D15" s="1017">
        <f>C15*B15</f>
        <v>0</v>
      </c>
      <c r="E15" s="1017">
        <v>38954415.700000003</v>
      </c>
      <c r="F15" s="1018"/>
      <c r="G15" s="1018"/>
      <c r="H15" s="1018">
        <f t="shared" ref="H15:H30" si="52">G15+F15</f>
        <v>0</v>
      </c>
      <c r="I15" s="1017">
        <f t="shared" ref="I15:I30" si="53">H15*4.5%</f>
        <v>0</v>
      </c>
      <c r="J15" s="1017">
        <f t="shared" ref="J15:J28" si="54">I15+H15</f>
        <v>0</v>
      </c>
      <c r="K15" s="1018">
        <f ca="1">SUMIF(Posting!$B:$F,A15,Posting!$F:$F)</f>
        <v>12898454</v>
      </c>
      <c r="L15" s="1018">
        <f t="shared" ref="L15:L30" ca="1" si="55">J15-K15</f>
        <v>-12898454</v>
      </c>
      <c r="N15" s="244"/>
    </row>
    <row r="16" spans="1:14" s="4" customFormat="1" x14ac:dyDescent="0.3">
      <c r="A16" s="1051" t="s">
        <v>12742</v>
      </c>
      <c r="B16" s="1017"/>
      <c r="C16" s="1064"/>
      <c r="D16" s="1017"/>
      <c r="E16" s="1017"/>
      <c r="F16" s="1018"/>
      <c r="G16" s="1018"/>
      <c r="H16" s="1018">
        <f t="shared" si="52"/>
        <v>0</v>
      </c>
      <c r="I16" s="1017">
        <f t="shared" si="53"/>
        <v>0</v>
      </c>
      <c r="J16" s="1017">
        <f t="shared" si="54"/>
        <v>0</v>
      </c>
      <c r="K16" s="1018">
        <f ca="1">SUMIF(Posting!$B:$F,A16,Posting!$F:$F)</f>
        <v>0</v>
      </c>
      <c r="L16" s="1018">
        <f t="shared" ca="1" si="55"/>
        <v>0</v>
      </c>
      <c r="N16" s="244"/>
    </row>
    <row r="17" spans="1:200" s="4" customFormat="1" x14ac:dyDescent="0.3">
      <c r="A17" s="1051" t="s">
        <v>12583</v>
      </c>
      <c r="B17" s="1017"/>
      <c r="C17" s="1063"/>
      <c r="D17" s="1017"/>
      <c r="E17" s="1017">
        <f>B17-D17</f>
        <v>0</v>
      </c>
      <c r="F17" s="1018"/>
      <c r="G17" s="1018"/>
      <c r="H17" s="1018">
        <f>G17+F17</f>
        <v>0</v>
      </c>
      <c r="I17" s="1017">
        <f>H17*4.5%</f>
        <v>0</v>
      </c>
      <c r="J17" s="1017">
        <f>I17+H17</f>
        <v>0</v>
      </c>
      <c r="K17" s="1018">
        <f ca="1">SUMIF(Posting!$B:$F,A17,Posting!$F:$F)</f>
        <v>120000</v>
      </c>
      <c r="L17" s="1018">
        <f ca="1">J17-K17</f>
        <v>-120000</v>
      </c>
      <c r="N17" s="244"/>
    </row>
    <row r="18" spans="1:200" s="4" customFormat="1" x14ac:dyDescent="0.3">
      <c r="A18" s="1051" t="s">
        <v>13636</v>
      </c>
      <c r="B18" s="1017"/>
      <c r="C18" s="1063"/>
      <c r="D18" s="1017">
        <f>C18*B18</f>
        <v>0</v>
      </c>
      <c r="E18" s="1017">
        <f t="shared" ref="E18" si="56">B18-D18</f>
        <v>0</v>
      </c>
      <c r="F18" s="1018">
        <f>773710+395798</f>
        <v>1169508</v>
      </c>
      <c r="G18" s="1018">
        <v>391569</v>
      </c>
      <c r="H18" s="1018">
        <f t="shared" ref="H18" si="57">G18+F18</f>
        <v>1561077</v>
      </c>
      <c r="I18" s="1017">
        <f t="shared" ref="I18" si="58">H18*4.5%</f>
        <v>70248.464999999997</v>
      </c>
      <c r="J18" s="1017">
        <f t="shared" ref="J18" si="59">I18+H18</f>
        <v>1631325.4650000001</v>
      </c>
      <c r="K18" s="1018">
        <f ca="1">SUMIF(Posting!$B:$F,A18,Posting!$F:$F)</f>
        <v>0</v>
      </c>
      <c r="L18" s="1018">
        <f t="shared" ref="L18" ca="1" si="60">J18-K18</f>
        <v>1631325.4650000001</v>
      </c>
      <c r="N18" s="244"/>
    </row>
    <row r="19" spans="1:200" s="4" customFormat="1" x14ac:dyDescent="0.3">
      <c r="A19" s="1051" t="s">
        <v>14154</v>
      </c>
      <c r="B19" s="1017">
        <v>11500000</v>
      </c>
      <c r="C19" s="1063"/>
      <c r="D19" s="1017">
        <f>C19*B19</f>
        <v>0</v>
      </c>
      <c r="E19" s="1017">
        <f t="shared" ref="E19" si="61">B19-D19</f>
        <v>11500000</v>
      </c>
      <c r="F19" s="1018">
        <v>8507790</v>
      </c>
      <c r="G19" s="1018">
        <v>2067598</v>
      </c>
      <c r="H19" s="1018">
        <f t="shared" ref="H19" si="62">G19+F19</f>
        <v>10575388</v>
      </c>
      <c r="I19" s="1017">
        <f t="shared" ref="I19" si="63">H19*4.5%</f>
        <v>475892.45999999996</v>
      </c>
      <c r="J19" s="1017">
        <f t="shared" ref="J19" si="64">I19+H19</f>
        <v>11051280.460000001</v>
      </c>
      <c r="K19" s="1018">
        <f ca="1">SUMIF(Posting!$B:$F,A19,Posting!$F:$F)</f>
        <v>8097014</v>
      </c>
      <c r="L19" s="1018">
        <f t="shared" ref="L19" ca="1" si="65">J19-K19</f>
        <v>2954266.4600000009</v>
      </c>
      <c r="M19" s="4" t="s">
        <v>14195</v>
      </c>
      <c r="N19" s="244"/>
    </row>
    <row r="20" spans="1:200" s="4" customFormat="1" x14ac:dyDescent="0.3">
      <c r="A20" s="1172" t="s">
        <v>13213</v>
      </c>
      <c r="B20" s="1017">
        <v>47244460.5</v>
      </c>
      <c r="C20" s="1063">
        <v>0.08</v>
      </c>
      <c r="D20" s="1017">
        <f t="shared" ref="D20" si="66">C20*B20</f>
        <v>3779556.84</v>
      </c>
      <c r="E20" s="1017">
        <f t="shared" ref="E20" si="67">B20-D20</f>
        <v>43464903.659999996</v>
      </c>
      <c r="F20" s="1018">
        <v>43464904</v>
      </c>
      <c r="G20" s="1018">
        <v>1621492</v>
      </c>
      <c r="H20" s="1018">
        <f t="shared" ref="H20" si="68">G20+F20</f>
        <v>45086396</v>
      </c>
      <c r="I20" s="1017">
        <f t="shared" ref="I20" si="69">H20*4.5%</f>
        <v>2028887.8199999998</v>
      </c>
      <c r="J20" s="1017">
        <f t="shared" ref="J20" si="70">I20+H20</f>
        <v>47115283.82</v>
      </c>
      <c r="K20" s="1018">
        <f ca="1">SUMIF(Posting!$B:$F,A20,Posting!$F:$F)</f>
        <v>27277412</v>
      </c>
      <c r="L20" s="1018">
        <f t="shared" ref="L20" ca="1" si="71">J20-K20</f>
        <v>19837871.82</v>
      </c>
      <c r="M20" s="4" t="s">
        <v>14195</v>
      </c>
      <c r="N20" s="244"/>
    </row>
    <row r="21" spans="1:200" s="4" customFormat="1" x14ac:dyDescent="0.3">
      <c r="A21" s="1051" t="s">
        <v>11586</v>
      </c>
      <c r="B21" s="1017"/>
      <c r="C21" s="1063"/>
      <c r="D21" s="1017"/>
      <c r="E21" s="1017">
        <f>'[4]quotation 2'!$I$20</f>
        <v>11816000</v>
      </c>
      <c r="F21" s="1018">
        <v>5721872</v>
      </c>
      <c r="G21" s="1018">
        <v>11816000</v>
      </c>
      <c r="H21" s="1018">
        <f>G21+F21</f>
        <v>17537872</v>
      </c>
      <c r="I21" s="1017">
        <f>H21*4.5%</f>
        <v>789204.24</v>
      </c>
      <c r="J21" s="1017">
        <f>I21+H21</f>
        <v>18327076.239999998</v>
      </c>
      <c r="K21" s="1042">
        <f ca="1">SUMIF(Posting!$B:$F,A21,Posting!$F:$F)</f>
        <v>17854400</v>
      </c>
      <c r="L21" s="1018">
        <f ca="1">J21-K21</f>
        <v>472676.23999999836</v>
      </c>
      <c r="N21" s="244">
        <v>15354400</v>
      </c>
      <c r="O21" s="1023">
        <f ca="1">N21-K21</f>
        <v>-2500000</v>
      </c>
    </row>
    <row r="22" spans="1:200" s="1019" customFormat="1" x14ac:dyDescent="0.3">
      <c r="A22" s="1051" t="s">
        <v>11423</v>
      </c>
      <c r="B22" s="1017"/>
      <c r="C22" s="1063"/>
      <c r="D22" s="1017"/>
      <c r="E22" s="1017">
        <f>B22-D22</f>
        <v>0</v>
      </c>
      <c r="F22" s="1018">
        <v>11760000</v>
      </c>
      <c r="G22" s="1018">
        <v>111360</v>
      </c>
      <c r="H22" s="1018">
        <f>G22+F22</f>
        <v>11871360</v>
      </c>
      <c r="I22" s="1017">
        <f>H22*4.5%</f>
        <v>534211.19999999995</v>
      </c>
      <c r="J22" s="1017">
        <f>I22+H22</f>
        <v>12405571.199999999</v>
      </c>
      <c r="K22" s="1042">
        <f ca="1">SUMIF(Posting!$B:$F,A22,Posting!$F:$F)</f>
        <v>11253125</v>
      </c>
      <c r="L22" s="1018">
        <f ca="1">J22-K22</f>
        <v>1152446.1999999993</v>
      </c>
      <c r="M22" s="4" t="s">
        <v>14195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4" customFormat="1" x14ac:dyDescent="0.3">
      <c r="A23" s="1171" t="s">
        <v>12585</v>
      </c>
      <c r="B23" s="1017">
        <v>5138700</v>
      </c>
      <c r="C23" s="1064" t="s">
        <v>12639</v>
      </c>
      <c r="D23" s="1017">
        <v>138700</v>
      </c>
      <c r="E23" s="1017">
        <f>B23-D23</f>
        <v>5000000</v>
      </c>
      <c r="F23" s="1018">
        <v>5000000</v>
      </c>
      <c r="G23" s="1018">
        <v>139008</v>
      </c>
      <c r="H23" s="1018">
        <f>G23+F23</f>
        <v>5139008</v>
      </c>
      <c r="I23" s="1017">
        <f>H23*4.5%</f>
        <v>231255.36</v>
      </c>
      <c r="J23" s="1017">
        <f>I23+H23</f>
        <v>5370263.3600000003</v>
      </c>
      <c r="K23" s="1042">
        <f ca="1">SUMIF(Posting!$B:$F,A23,Posting!$F:$F)</f>
        <v>2900094</v>
      </c>
      <c r="L23" s="1018">
        <f ca="1">J23-K23</f>
        <v>2470169.3600000003</v>
      </c>
      <c r="M23" s="4" t="s">
        <v>14195</v>
      </c>
      <c r="N23" s="244"/>
    </row>
    <row r="24" spans="1:200" s="4" customFormat="1" x14ac:dyDescent="0.3">
      <c r="A24" s="1171" t="s">
        <v>11864</v>
      </c>
      <c r="B24" s="1017">
        <v>76247089.599999994</v>
      </c>
      <c r="C24" s="1063">
        <v>0.12</v>
      </c>
      <c r="D24" s="1017">
        <f>C24*B24</f>
        <v>9149650.7519999985</v>
      </c>
      <c r="E24" s="1017">
        <f t="shared" ref="E24:E30" si="72">B24-D24</f>
        <v>67097438.847999997</v>
      </c>
      <c r="F24" s="1018"/>
      <c r="G24" s="1018"/>
      <c r="H24" s="1018">
        <f>E24</f>
        <v>67097438.847999997</v>
      </c>
      <c r="I24" s="1017">
        <f t="shared" si="53"/>
        <v>3019384.74816</v>
      </c>
      <c r="J24" s="1017">
        <f t="shared" si="54"/>
        <v>70116823.596159995</v>
      </c>
      <c r="K24" s="1042">
        <f ca="1">SUMIF(Posting!$B:$F,A24,Posting!$F:$F)</f>
        <v>62447124</v>
      </c>
      <c r="L24" s="1018">
        <f t="shared" ca="1" si="55"/>
        <v>7669699.5961599946</v>
      </c>
      <c r="M24" s="4" t="s">
        <v>14195</v>
      </c>
      <c r="N24" s="244"/>
    </row>
    <row r="25" spans="1:200" s="1019" customFormat="1" x14ac:dyDescent="0.3">
      <c r="A25" s="1171" t="s">
        <v>10326</v>
      </c>
      <c r="B25" s="1017"/>
      <c r="C25" s="1063"/>
      <c r="D25" s="1017"/>
      <c r="E25" s="1017">
        <v>9265000</v>
      </c>
      <c r="F25" s="1018">
        <v>9265000</v>
      </c>
      <c r="G25" s="1018">
        <v>1179300</v>
      </c>
      <c r="H25" s="1018">
        <f>G25+E25</f>
        <v>10444300</v>
      </c>
      <c r="I25" s="1017">
        <f t="shared" si="53"/>
        <v>469993.5</v>
      </c>
      <c r="J25" s="1017">
        <f t="shared" si="54"/>
        <v>10914293.5</v>
      </c>
      <c r="K25" s="1042">
        <f ca="1">SUMIF(Posting!$B:$F,A25,Posting!$F:$F)</f>
        <v>9632939</v>
      </c>
      <c r="L25" s="1018">
        <f t="shared" ca="1" si="55"/>
        <v>1281354.5</v>
      </c>
      <c r="M25" s="4"/>
      <c r="N25" s="244">
        <v>8801750</v>
      </c>
      <c r="O25" s="1023">
        <f ca="1">N25-K25</f>
        <v>-831189</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9390</v>
      </c>
      <c r="B26" s="1017">
        <v>9435400</v>
      </c>
      <c r="C26" s="1063"/>
      <c r="D26" s="1017"/>
      <c r="E26" s="1017">
        <f t="shared" si="72"/>
        <v>9435400</v>
      </c>
      <c r="F26" s="1018">
        <v>7634180.5</v>
      </c>
      <c r="G26" s="1018">
        <v>1355781</v>
      </c>
      <c r="H26" s="1018">
        <f t="shared" si="52"/>
        <v>8989961.5</v>
      </c>
      <c r="I26" s="1017">
        <f t="shared" si="53"/>
        <v>404548.26749999996</v>
      </c>
      <c r="J26" s="1017">
        <f t="shared" si="54"/>
        <v>9394509.7675000001</v>
      </c>
      <c r="K26" s="1042">
        <f ca="1">SUMIF(Posting!$B:$F,A26,Posting!$F:$F)</f>
        <v>6590400</v>
      </c>
      <c r="L26" s="1018">
        <f t="shared" ca="1" si="55"/>
        <v>2804109.7675000001</v>
      </c>
      <c r="M26" s="4" t="s">
        <v>14195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9495</v>
      </c>
      <c r="B27" s="1017">
        <f>[5]Summary!$C$14</f>
        <v>7767350</v>
      </c>
      <c r="C27" s="1063"/>
      <c r="D27" s="1017"/>
      <c r="E27" s="1017">
        <f t="shared" si="72"/>
        <v>7767350</v>
      </c>
      <c r="F27" s="1018">
        <v>4180000</v>
      </c>
      <c r="G27" s="1018">
        <v>657480</v>
      </c>
      <c r="H27" s="1018">
        <f t="shared" si="52"/>
        <v>4837480</v>
      </c>
      <c r="I27" s="1017">
        <f t="shared" si="53"/>
        <v>217686.6</v>
      </c>
      <c r="J27" s="1017">
        <f t="shared" si="54"/>
        <v>5055166.5999999996</v>
      </c>
      <c r="K27" s="1042">
        <f ca="1">SUMIF(Posting!$B:$F,A27,Posting!$F:$F)</f>
        <v>3185630</v>
      </c>
      <c r="L27" s="1018">
        <f t="shared" ca="1" si="55"/>
        <v>1869536.5999999996</v>
      </c>
      <c r="M27" s="4"/>
      <c r="N27" s="244">
        <v>3335630</v>
      </c>
      <c r="O27" s="1023">
        <f ca="1">N27-K27</f>
        <v>150000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8329</v>
      </c>
      <c r="B28" s="1017">
        <v>12161762</v>
      </c>
      <c r="C28" s="1063"/>
      <c r="D28" s="1017"/>
      <c r="E28" s="1017">
        <f t="shared" si="72"/>
        <v>12161762</v>
      </c>
      <c r="F28" s="1018">
        <v>12508883.5</v>
      </c>
      <c r="G28" s="1018">
        <f>[6]Sheet1!$C$26</f>
        <v>1879892</v>
      </c>
      <c r="H28" s="1018">
        <f t="shared" si="52"/>
        <v>14388775.5</v>
      </c>
      <c r="I28" s="1017">
        <f t="shared" si="53"/>
        <v>647494.89749999996</v>
      </c>
      <c r="J28" s="1017">
        <f t="shared" si="54"/>
        <v>15036270.397500001</v>
      </c>
      <c r="K28" s="1042">
        <f ca="1">SUMIF(Posting!$B:$F,A28,Posting!$F:$F)</f>
        <v>14204081</v>
      </c>
      <c r="L28" s="1018">
        <f t="shared" ca="1" si="55"/>
        <v>832189.39750000089</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8034</v>
      </c>
      <c r="B29" s="1017">
        <v>24512695</v>
      </c>
      <c r="C29" s="1063"/>
      <c r="D29" s="1017"/>
      <c r="E29" s="1017">
        <f>B29-D29</f>
        <v>24512695</v>
      </c>
      <c r="F29" s="1018">
        <v>26121171.999999996</v>
      </c>
      <c r="G29" s="1018">
        <f>[7]Sheet1!$E$24</f>
        <v>3571369.0625</v>
      </c>
      <c r="H29" s="1018">
        <f t="shared" si="52"/>
        <v>29692541.062499996</v>
      </c>
      <c r="I29" s="1017">
        <f t="shared" si="53"/>
        <v>1336164.3478124999</v>
      </c>
      <c r="J29" s="1017">
        <f>I29+H29</f>
        <v>31028705.410312496</v>
      </c>
      <c r="K29" s="1042">
        <f ca="1">SUMIF(Posting!$B:$F,A29,Posting!$F:$F)-835500</f>
        <v>27744816</v>
      </c>
      <c r="L29" s="1018">
        <f t="shared" ca="1" si="55"/>
        <v>3283889.4103124961</v>
      </c>
      <c r="M29" s="1023"/>
      <c r="N29" s="244">
        <v>28204816</v>
      </c>
      <c r="O29" s="1023">
        <f ca="1">N29-K29</f>
        <v>460000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8856</v>
      </c>
      <c r="B30" s="1017">
        <v>5842450</v>
      </c>
      <c r="C30" s="1017"/>
      <c r="D30" s="1017">
        <v>188450</v>
      </c>
      <c r="E30" s="1017">
        <f t="shared" si="72"/>
        <v>5654000</v>
      </c>
      <c r="F30" s="1018">
        <v>5866320</v>
      </c>
      <c r="G30" s="1018">
        <f>[8]Sheet1!$C$23</f>
        <v>1099464.3999999999</v>
      </c>
      <c r="H30" s="1018">
        <f t="shared" si="52"/>
        <v>6965784.4000000004</v>
      </c>
      <c r="I30" s="1017">
        <f t="shared" si="53"/>
        <v>313460.29800000001</v>
      </c>
      <c r="J30" s="1017">
        <f>I30+H30</f>
        <v>7279244.6980000008</v>
      </c>
      <c r="K30" s="1042">
        <f ca="1">SUMIF(Posting!$B:$F,A30,Posting!$F:$F)</f>
        <v>6000000</v>
      </c>
      <c r="L30" s="1018">
        <f t="shared" ca="1" si="55"/>
        <v>1279244.6980000008</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hidden="1" x14ac:dyDescent="0.3">
      <c r="A31" s="1171" t="s">
        <v>7914</v>
      </c>
      <c r="B31" s="1017">
        <v>22948040</v>
      </c>
      <c r="C31" s="1085">
        <v>6.3E-2</v>
      </c>
      <c r="D31" s="1017">
        <v>1445726.52</v>
      </c>
      <c r="E31" s="1017">
        <f>B31-D31</f>
        <v>21502313.48</v>
      </c>
      <c r="F31" s="1018">
        <v>22717925.745000001</v>
      </c>
      <c r="G31" s="1018">
        <v>1010566</v>
      </c>
      <c r="H31" s="1018">
        <f>G31+F31</f>
        <v>23728491.745000001</v>
      </c>
      <c r="I31" s="1017">
        <f>H31*4.5%</f>
        <v>1067782.1285250001</v>
      </c>
      <c r="J31" s="1017">
        <f>I31+H31</f>
        <v>24796273.873525001</v>
      </c>
      <c r="K31" s="1042">
        <f ca="1">SUMIF(Posting!$B:$F,A31,Posting!$F:$F)</f>
        <v>26037593</v>
      </c>
      <c r="L31" s="1018">
        <f ca="1">J31-K31</f>
        <v>-1241319.1264749989</v>
      </c>
      <c r="M31" s="4" t="s">
        <v>15246</v>
      </c>
      <c r="N31" s="24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4" customFormat="1" hidden="1" x14ac:dyDescent="0.3">
      <c r="A32" s="1171" t="s">
        <v>9649</v>
      </c>
      <c r="B32" s="1017">
        <v>19265070</v>
      </c>
      <c r="C32" s="1063"/>
      <c r="D32" s="1017"/>
      <c r="E32" s="1017">
        <f>B32-D32</f>
        <v>19265070</v>
      </c>
      <c r="F32" s="1018">
        <f>10683425+1415450</f>
        <v>12098875</v>
      </c>
      <c r="G32" s="1018">
        <f>[9]Sheet1!$C$20</f>
        <v>553023</v>
      </c>
      <c r="H32" s="1018">
        <f>G32+F32</f>
        <v>12651898</v>
      </c>
      <c r="I32" s="1017">
        <f>H32*4.5%</f>
        <v>569335.41</v>
      </c>
      <c r="J32" s="1017">
        <f>I32+H32</f>
        <v>13221233.41</v>
      </c>
      <c r="K32" s="1042">
        <f ca="1">SUMIF(Posting!$B:$F,A32,Posting!$F:$F)</f>
        <v>13223436</v>
      </c>
      <c r="L32" s="1018">
        <f ca="1">J32-K32</f>
        <v>-2202.589999999851</v>
      </c>
      <c r="M32" s="4" t="s">
        <v>15246</v>
      </c>
      <c r="N32" s="244">
        <v>10000000</v>
      </c>
      <c r="O32" s="1023">
        <f ca="1">N32-K32</f>
        <v>-3223436</v>
      </c>
    </row>
    <row r="33" spans="1:200" s="1019" customFormat="1" hidden="1" x14ac:dyDescent="0.3">
      <c r="A33" s="1171" t="s">
        <v>8864</v>
      </c>
      <c r="B33" s="1017">
        <v>14110484</v>
      </c>
      <c r="C33" s="1063">
        <v>7.0000000000000007E-2</v>
      </c>
      <c r="D33" s="1017">
        <f>C33*B33</f>
        <v>987733.88000000012</v>
      </c>
      <c r="E33" s="1017">
        <f t="shared" ref="E33" si="73">B33-D33</f>
        <v>13122750.119999999</v>
      </c>
      <c r="F33" s="1018">
        <v>13470818.6</v>
      </c>
      <c r="G33" s="1018">
        <f>[10]Sheet1!$D$26+2273000</f>
        <v>5364025.32</v>
      </c>
      <c r="H33" s="1018">
        <f>G33+F33</f>
        <v>18834843.920000002</v>
      </c>
      <c r="I33" s="1017">
        <f>H33*4.5%</f>
        <v>847567.97640000004</v>
      </c>
      <c r="J33" s="1017">
        <f>I33+H33</f>
        <v>19682411.896400001</v>
      </c>
      <c r="K33" s="1042">
        <v>19682412</v>
      </c>
      <c r="L33" s="1018">
        <f>J33-K33</f>
        <v>-0.10359999909996986</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91" customFormat="1" ht="23.25" customHeight="1" x14ac:dyDescent="0.25">
      <c r="A34" s="1086"/>
      <c r="B34" s="1018"/>
      <c r="C34" s="1087"/>
      <c r="D34" s="1018"/>
      <c r="E34" s="1018"/>
      <c r="F34" s="1088"/>
      <c r="G34" s="1088"/>
      <c r="H34" s="1088"/>
      <c r="I34" s="1018"/>
      <c r="J34" s="1088">
        <f>SUM(J10:J30)</f>
        <v>244725814.51447254</v>
      </c>
      <c r="K34" s="1088">
        <f ca="1">SUM(K7:K30)</f>
        <v>279220535</v>
      </c>
      <c r="L34" s="1067">
        <f ca="1">SUM(L7:L33)</f>
        <v>-35738242.305602491</v>
      </c>
      <c r="M34" s="1089"/>
      <c r="N34" s="1101"/>
      <c r="O34" s="1090"/>
      <c r="P34" s="1090"/>
      <c r="Q34" s="1090"/>
      <c r="R34" s="1090"/>
      <c r="S34" s="1090"/>
      <c r="T34" s="1090"/>
      <c r="U34" s="1090"/>
      <c r="V34" s="1090"/>
      <c r="W34" s="1090"/>
      <c r="X34" s="1090"/>
      <c r="Y34" s="1090"/>
      <c r="Z34" s="1090"/>
      <c r="AA34" s="1090"/>
      <c r="AB34" s="1090"/>
      <c r="AC34" s="1090"/>
      <c r="AD34" s="1090"/>
      <c r="AE34" s="1090"/>
      <c r="AF34" s="1090"/>
      <c r="AG34" s="1090"/>
      <c r="AH34" s="1090"/>
      <c r="AI34" s="1090"/>
      <c r="AJ34" s="1090"/>
      <c r="AK34" s="1090"/>
      <c r="AL34" s="1090"/>
      <c r="AM34" s="1090"/>
      <c r="AN34" s="1090"/>
      <c r="AO34" s="1090"/>
      <c r="AP34" s="1090"/>
      <c r="AQ34" s="1090"/>
      <c r="AR34" s="1090"/>
      <c r="AS34" s="1090"/>
      <c r="AT34" s="1090"/>
      <c r="AU34" s="1090"/>
      <c r="AV34" s="1090"/>
      <c r="AW34" s="1090"/>
      <c r="AX34" s="1090"/>
      <c r="AY34" s="1090"/>
      <c r="AZ34" s="1090"/>
      <c r="BA34" s="1090"/>
      <c r="BB34" s="1090"/>
      <c r="BC34" s="1090"/>
      <c r="BD34" s="1090"/>
      <c r="BE34" s="1090"/>
      <c r="BF34" s="1090"/>
      <c r="BG34" s="1090"/>
      <c r="BH34" s="1090"/>
      <c r="BI34" s="1090"/>
      <c r="BJ34" s="1090"/>
      <c r="BK34" s="1090"/>
      <c r="BL34" s="1090"/>
      <c r="BM34" s="1090"/>
      <c r="BN34" s="1090"/>
      <c r="BO34" s="1090"/>
      <c r="BP34" s="1090"/>
      <c r="BQ34" s="1090"/>
      <c r="BR34" s="1090"/>
      <c r="BS34" s="1090"/>
      <c r="BT34" s="1090"/>
      <c r="BU34" s="1090"/>
      <c r="BV34" s="1090"/>
      <c r="BW34" s="1090"/>
      <c r="BX34" s="1090"/>
      <c r="BY34" s="1090"/>
      <c r="BZ34" s="1090"/>
      <c r="CA34" s="1090"/>
      <c r="CB34" s="1090"/>
      <c r="CC34" s="1090"/>
      <c r="CD34" s="1090"/>
      <c r="CE34" s="1090"/>
      <c r="CF34" s="1090"/>
      <c r="CG34" s="1090"/>
      <c r="CH34" s="1090"/>
      <c r="CI34" s="1090"/>
      <c r="CJ34" s="1090"/>
      <c r="CK34" s="1090"/>
      <c r="CL34" s="1090"/>
      <c r="CM34" s="1090"/>
      <c r="CN34" s="1090"/>
      <c r="CO34" s="1090"/>
      <c r="CP34" s="1090"/>
      <c r="CQ34" s="1090"/>
      <c r="CR34" s="1090"/>
      <c r="CS34" s="1090"/>
      <c r="CT34" s="1090"/>
      <c r="CU34" s="1090"/>
      <c r="CV34" s="1090"/>
      <c r="CW34" s="1090"/>
      <c r="CX34" s="1090"/>
      <c r="CY34" s="1090"/>
      <c r="CZ34" s="1090"/>
      <c r="DA34" s="1090"/>
      <c r="DB34" s="1090"/>
      <c r="DC34" s="1090"/>
      <c r="DD34" s="1090"/>
      <c r="DE34" s="1090"/>
      <c r="DF34" s="1090"/>
      <c r="DG34" s="1090"/>
      <c r="DH34" s="1090"/>
      <c r="DI34" s="1090"/>
      <c r="DJ34" s="1090"/>
      <c r="DK34" s="1090"/>
      <c r="DL34" s="1090"/>
      <c r="DM34" s="1090"/>
      <c r="DN34" s="1090"/>
      <c r="DO34" s="1090"/>
      <c r="DP34" s="1090"/>
      <c r="DQ34" s="1090"/>
      <c r="DR34" s="1090"/>
      <c r="DS34" s="1090"/>
      <c r="DT34" s="1090"/>
      <c r="DU34" s="1090"/>
      <c r="DV34" s="1090"/>
      <c r="DW34" s="1090"/>
      <c r="DX34" s="1090"/>
      <c r="DY34" s="1090"/>
      <c r="DZ34" s="1090"/>
      <c r="EA34" s="1090"/>
      <c r="EB34" s="1090"/>
      <c r="EC34" s="1090"/>
      <c r="ED34" s="1090"/>
      <c r="EE34" s="1090"/>
      <c r="EF34" s="1090"/>
      <c r="EG34" s="1090"/>
      <c r="EH34" s="1090"/>
      <c r="EI34" s="1090"/>
      <c r="EJ34" s="1090"/>
      <c r="EK34" s="1090"/>
      <c r="EL34" s="1090"/>
      <c r="EM34" s="1090"/>
      <c r="EN34" s="1090"/>
      <c r="EO34" s="1090"/>
      <c r="EP34" s="1090"/>
      <c r="EQ34" s="1090"/>
      <c r="ER34" s="1090"/>
      <c r="ES34" s="1090"/>
      <c r="ET34" s="1090"/>
      <c r="EU34" s="1090"/>
      <c r="EV34" s="1090"/>
      <c r="EW34" s="1090"/>
      <c r="EX34" s="1090"/>
      <c r="EY34" s="1090"/>
      <c r="EZ34" s="1090"/>
      <c r="FA34" s="1090"/>
      <c r="FB34" s="1090"/>
      <c r="FC34" s="1090"/>
      <c r="FD34" s="1090"/>
      <c r="FE34" s="1090"/>
      <c r="FF34" s="1090"/>
      <c r="FG34" s="1090"/>
      <c r="FH34" s="1090"/>
      <c r="FI34" s="1090"/>
      <c r="FJ34" s="1090"/>
      <c r="FK34" s="1090"/>
      <c r="FL34" s="1090"/>
      <c r="FM34" s="1090"/>
      <c r="FN34" s="1090"/>
      <c r="FO34" s="1090"/>
      <c r="FP34" s="1090"/>
      <c r="FQ34" s="1090"/>
      <c r="FR34" s="1090"/>
      <c r="FS34" s="1090"/>
      <c r="FT34" s="1090"/>
      <c r="FU34" s="1090"/>
      <c r="FV34" s="1090"/>
      <c r="FW34" s="1090"/>
      <c r="FX34" s="1090"/>
      <c r="FY34" s="1090"/>
      <c r="FZ34" s="1090"/>
      <c r="GA34" s="1090"/>
      <c r="GB34" s="1090"/>
      <c r="GC34" s="1090"/>
      <c r="GD34" s="1090"/>
      <c r="GE34" s="1090"/>
      <c r="GF34" s="1090"/>
      <c r="GG34" s="1090"/>
      <c r="GH34" s="1090"/>
      <c r="GI34" s="1090"/>
      <c r="GJ34" s="1090"/>
      <c r="GK34" s="1090"/>
      <c r="GL34" s="1090"/>
      <c r="GM34" s="1090"/>
      <c r="GN34" s="1090"/>
      <c r="GO34" s="1090"/>
      <c r="GP34" s="1090"/>
      <c r="GQ34" s="1090"/>
      <c r="GR34" s="1090"/>
    </row>
    <row r="35" spans="1:200" s="1019" customFormat="1" x14ac:dyDescent="0.3">
      <c r="A35" s="4"/>
      <c r="B35" s="1020"/>
      <c r="C35" s="1020"/>
      <c r="D35" s="1020"/>
      <c r="E35" s="1020"/>
      <c r="F35" s="1020"/>
      <c r="G35" s="1020"/>
      <c r="H35" s="1020"/>
      <c r="I35" s="1020"/>
      <c r="J35" s="1020"/>
      <c r="K35" s="1020"/>
      <c r="L35" s="1020"/>
      <c r="M35" s="4"/>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44" spans="1:200" x14ac:dyDescent="0.3">
      <c r="B44" s="244" t="s">
        <v>15247</v>
      </c>
    </row>
    <row r="46" spans="1:200" x14ac:dyDescent="0.3">
      <c r="B46" s="244" t="s">
        <v>15248</v>
      </c>
    </row>
    <row r="47" spans="1:200" x14ac:dyDescent="0.3">
      <c r="B47" s="244" t="s">
        <v>15249</v>
      </c>
    </row>
    <row r="48" spans="1:200" x14ac:dyDescent="0.3">
      <c r="B48" s="244" t="s">
        <v>15250</v>
      </c>
    </row>
    <row r="49" spans="2:2" x14ac:dyDescent="0.3">
      <c r="B49" s="244" t="s">
        <v>15251</v>
      </c>
    </row>
    <row r="50" spans="2:2" x14ac:dyDescent="0.3">
      <c r="B50" s="244" t="s">
        <v>15252</v>
      </c>
    </row>
    <row r="51" spans="2:2" x14ac:dyDescent="0.3">
      <c r="B51" s="244" t="s">
        <v>15253</v>
      </c>
    </row>
    <row r="52" spans="2:2" x14ac:dyDescent="0.3">
      <c r="B52"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5"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37700245</v>
      </c>
      <c r="C6" s="1150">
        <v>32976558</v>
      </c>
      <c r="D6" s="1151">
        <v>4723687</v>
      </c>
    </row>
    <row r="7" spans="1:5" ht="23.25" x14ac:dyDescent="0.35">
      <c r="A7" s="1149" t="s">
        <v>180</v>
      </c>
      <c r="B7" s="1150">
        <v>30936004</v>
      </c>
      <c r="C7" s="1150">
        <v>27707612</v>
      </c>
      <c r="D7" s="1152">
        <v>3228392</v>
      </c>
    </row>
    <row r="8" spans="1:5" ht="23.25" x14ac:dyDescent="0.35">
      <c r="A8" s="1149" t="s">
        <v>7240</v>
      </c>
      <c r="B8" s="1153">
        <v>17386644</v>
      </c>
      <c r="C8" s="1153">
        <v>15527287</v>
      </c>
      <c r="D8" s="1152">
        <v>1859357</v>
      </c>
    </row>
    <row r="9" spans="1:5" ht="23.25" x14ac:dyDescent="0.35">
      <c r="A9" s="1149" t="s">
        <v>8384</v>
      </c>
      <c r="B9" s="1153">
        <v>47157840</v>
      </c>
      <c r="C9" s="1153">
        <v>45397437</v>
      </c>
      <c r="D9" s="1151">
        <v>1760403</v>
      </c>
    </row>
    <row r="10" spans="1:5" ht="23.25" x14ac:dyDescent="0.35">
      <c r="A10" s="1149" t="s">
        <v>10472</v>
      </c>
      <c r="B10" s="1153">
        <v>8740383</v>
      </c>
      <c r="C10" s="1153">
        <v>7296500</v>
      </c>
      <c r="D10" s="1152">
        <v>1443883</v>
      </c>
    </row>
    <row r="11" spans="1:5" ht="23.25" x14ac:dyDescent="0.35">
      <c r="A11" s="1149" t="s">
        <v>166</v>
      </c>
      <c r="B11" s="1150">
        <v>25030299</v>
      </c>
      <c r="C11" s="1150">
        <v>23705640</v>
      </c>
      <c r="D11" s="1151">
        <v>1324659</v>
      </c>
    </row>
    <row r="12" spans="1:5" ht="23.25" x14ac:dyDescent="0.35">
      <c r="A12" s="1149" t="s">
        <v>7465</v>
      </c>
      <c r="B12" s="1153">
        <v>31932238</v>
      </c>
      <c r="C12" s="1153">
        <v>30619862</v>
      </c>
      <c r="D12" s="1151">
        <v>1312376</v>
      </c>
    </row>
    <row r="13" spans="1:5" ht="23.25" x14ac:dyDescent="0.35">
      <c r="A13" s="1149" t="s">
        <v>12283</v>
      </c>
      <c r="B13" s="1153">
        <v>1067995</v>
      </c>
      <c r="C13" s="1153"/>
      <c r="D13" s="1151">
        <v>1067995</v>
      </c>
    </row>
    <row r="14" spans="1:5" s="4" customFormat="1" ht="23.25" x14ac:dyDescent="0.35">
      <c r="A14" s="1149" t="s">
        <v>169</v>
      </c>
      <c r="B14" s="1150">
        <v>9472718</v>
      </c>
      <c r="C14" s="1150">
        <v>8818204</v>
      </c>
      <c r="D14" s="1152">
        <v>654514</v>
      </c>
    </row>
    <row r="15" spans="1:5" ht="23.25" x14ac:dyDescent="0.35">
      <c r="A15" s="1149" t="s">
        <v>7947</v>
      </c>
      <c r="B15" s="1153">
        <v>9497296</v>
      </c>
      <c r="C15" s="1153">
        <v>8850000</v>
      </c>
      <c r="D15" s="1152">
        <v>647296</v>
      </c>
    </row>
    <row r="16" spans="1:5" s="4" customFormat="1" ht="23.25" x14ac:dyDescent="0.35">
      <c r="A16" s="1149" t="s">
        <v>2195</v>
      </c>
      <c r="B16" s="1150">
        <v>4119577</v>
      </c>
      <c r="C16" s="1150">
        <v>3753108</v>
      </c>
      <c r="D16" s="1152">
        <v>366469</v>
      </c>
    </row>
    <row r="17" spans="1:5" ht="23.25" x14ac:dyDescent="0.35">
      <c r="A17" s="1149" t="s">
        <v>13116</v>
      </c>
      <c r="B17" s="1153">
        <v>3277771</v>
      </c>
      <c r="C17" s="1153">
        <v>3000000</v>
      </c>
      <c r="D17" s="1151">
        <v>277771</v>
      </c>
    </row>
    <row r="18" spans="1:5" ht="23.25" x14ac:dyDescent="0.35">
      <c r="A18" s="1149" t="s">
        <v>13276</v>
      </c>
      <c r="B18" s="1153">
        <v>2339423</v>
      </c>
      <c r="C18" s="1153">
        <v>2282000</v>
      </c>
      <c r="D18" s="1152">
        <v>57423</v>
      </c>
      <c r="E18" s="4"/>
    </row>
    <row r="19" spans="1:5" ht="23.25" x14ac:dyDescent="0.35">
      <c r="A19" s="1149" t="s">
        <v>12457</v>
      </c>
      <c r="B19" s="1153">
        <v>7193026</v>
      </c>
      <c r="C19" s="1153">
        <v>7150000</v>
      </c>
      <c r="D19" s="1152">
        <v>43026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11307</v>
      </c>
      <c r="B25" s="1153">
        <v>1061510</v>
      </c>
      <c r="C25" s="1153">
        <v>1061510</v>
      </c>
      <c r="D25" s="1151">
        <v>0</v>
      </c>
    </row>
    <row r="26" spans="1:5" s="4" customFormat="1" ht="23.25" x14ac:dyDescent="0.35">
      <c r="A26" s="1149" t="s">
        <v>3010</v>
      </c>
      <c r="B26" s="1150">
        <v>3121578</v>
      </c>
      <c r="C26" s="1150">
        <v>3121578</v>
      </c>
      <c r="D26" s="1152">
        <v>0</v>
      </c>
    </row>
    <row r="27" spans="1:5" ht="23.25" x14ac:dyDescent="0.35">
      <c r="A27" s="1149" t="s">
        <v>75</v>
      </c>
      <c r="B27" s="1150"/>
      <c r="C27" s="1150"/>
      <c r="D27" s="1152">
        <v>0</v>
      </c>
    </row>
    <row r="28" spans="1:5" ht="23.25" x14ac:dyDescent="0.35">
      <c r="A28" s="1149" t="s">
        <v>6845</v>
      </c>
      <c r="B28" s="1153">
        <v>903164</v>
      </c>
      <c r="C28" s="1153">
        <v>903164</v>
      </c>
      <c r="D28" s="1152">
        <v>0</v>
      </c>
    </row>
    <row r="29" spans="1:5" s="4" customFormat="1" ht="23.25" x14ac:dyDescent="0.35">
      <c r="A29" s="1149" t="s">
        <v>162</v>
      </c>
      <c r="B29" s="1150">
        <v>1123152</v>
      </c>
      <c r="C29" s="1150">
        <v>1123152</v>
      </c>
      <c r="D29" s="1152">
        <v>0</v>
      </c>
    </row>
    <row r="30" spans="1:5" ht="23.25" x14ac:dyDescent="0.35">
      <c r="A30" s="1149" t="s">
        <v>8888</v>
      </c>
      <c r="B30" s="1153">
        <v>612552</v>
      </c>
      <c r="C30" s="1153">
        <v>612552</v>
      </c>
      <c r="D30" s="1152">
        <v>0</v>
      </c>
    </row>
    <row r="31" spans="1:5" s="4" customFormat="1" ht="23.25" x14ac:dyDescent="0.35">
      <c r="A31" s="1149" t="s">
        <v>9068</v>
      </c>
      <c r="B31" s="1153">
        <v>885000</v>
      </c>
      <c r="C31" s="1153">
        <v>885000</v>
      </c>
      <c r="D31" s="1151">
        <v>0</v>
      </c>
    </row>
    <row r="32" spans="1:5" ht="23.25" x14ac:dyDescent="0.35">
      <c r="A32" s="1149" t="s">
        <v>161</v>
      </c>
      <c r="B32" s="1150">
        <v>5122182</v>
      </c>
      <c r="C32" s="1150">
        <v>5122182</v>
      </c>
      <c r="D32" s="1152">
        <v>0</v>
      </c>
    </row>
    <row r="33" spans="1:4" s="4" customFormat="1" ht="23.25" x14ac:dyDescent="0.35">
      <c r="A33" s="1149" t="s">
        <v>12246</v>
      </c>
      <c r="B33" s="1153">
        <v>1600298</v>
      </c>
      <c r="C33" s="1153">
        <v>1600298</v>
      </c>
      <c r="D33" s="1152">
        <v>0</v>
      </c>
    </row>
    <row r="34" spans="1:4" ht="23.25" x14ac:dyDescent="0.35">
      <c r="A34" s="1149" t="s">
        <v>6765</v>
      </c>
      <c r="B34" s="1150">
        <v>137550</v>
      </c>
      <c r="C34" s="1150">
        <v>137550</v>
      </c>
      <c r="D34" s="1152">
        <v>0</v>
      </c>
    </row>
    <row r="35" spans="1:4" ht="23.25" x14ac:dyDescent="0.35">
      <c r="A35" s="1149" t="s">
        <v>4724</v>
      </c>
      <c r="B35" s="1153">
        <v>1680000</v>
      </c>
      <c r="C35" s="1153">
        <v>1680000</v>
      </c>
      <c r="D35" s="1152">
        <v>0</v>
      </c>
    </row>
    <row r="36" spans="1:4" s="4" customFormat="1" ht="23.25" x14ac:dyDescent="0.35">
      <c r="A36" s="1149" t="s">
        <v>8696</v>
      </c>
      <c r="B36" s="1153">
        <v>300000</v>
      </c>
      <c r="C36" s="1153">
        <v>300000</v>
      </c>
      <c r="D36" s="1151">
        <v>0</v>
      </c>
    </row>
    <row r="37" spans="1:4" ht="23.25" x14ac:dyDescent="0.35">
      <c r="A37" s="1149" t="s">
        <v>437</v>
      </c>
      <c r="B37" s="1150">
        <v>2798262</v>
      </c>
      <c r="C37" s="1150">
        <v>2798262</v>
      </c>
      <c r="D37" s="1152">
        <v>0</v>
      </c>
    </row>
    <row r="38" spans="1:4" ht="23.25" x14ac:dyDescent="0.35">
      <c r="A38" s="1149" t="s">
        <v>11302</v>
      </c>
      <c r="B38" s="1153">
        <v>4226000</v>
      </c>
      <c r="C38" s="1153">
        <v>4226000</v>
      </c>
      <c r="D38" s="1151">
        <v>0</v>
      </c>
    </row>
    <row r="39" spans="1:4" ht="23.25" x14ac:dyDescent="0.35">
      <c r="A39" s="1149" t="s">
        <v>13922</v>
      </c>
      <c r="B39" s="1153">
        <v>100000</v>
      </c>
      <c r="C39" s="1153">
        <v>100000</v>
      </c>
      <c r="D39" s="1151">
        <v>0</v>
      </c>
    </row>
    <row r="40" spans="1:4" s="4" customFormat="1" ht="23.25" x14ac:dyDescent="0.35">
      <c r="A40" s="1149" t="s">
        <v>1814</v>
      </c>
      <c r="B40" s="1150">
        <v>11639548</v>
      </c>
      <c r="C40" s="1150">
        <v>11639548</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317702436.5</v>
      </c>
      <c r="C43" s="1156">
        <v>298858466.5</v>
      </c>
      <c r="D43" s="1157">
        <v>18843970</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4723687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4723687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5385687</v>
      </c>
      <c r="K78" s="3"/>
    </row>
    <row r="79" spans="1:11" x14ac:dyDescent="0.25">
      <c r="B79"/>
      <c r="C79"/>
      <c r="D79"/>
    </row>
    <row r="80" spans="1:11" x14ac:dyDescent="0.25">
      <c r="B80"/>
      <c r="C80"/>
      <c r="D80"/>
      <c r="I80" s="3">
        <f ca="1">I78-155000</f>
        <v>5230687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5"/>
      <c r="I4" s="1185"/>
      <c r="J4" s="1185"/>
    </row>
    <row r="5" spans="1:10" ht="24" thickBot="1" x14ac:dyDescent="0.35">
      <c r="A5" s="286" t="s">
        <v>4136</v>
      </c>
      <c r="B5" s="287" t="s">
        <v>4133</v>
      </c>
      <c r="C5" s="287" t="s">
        <v>4134</v>
      </c>
      <c r="D5" s="287" t="s">
        <v>4135</v>
      </c>
      <c r="E5" s="1012" t="s">
        <v>10848</v>
      </c>
      <c r="H5" s="1185"/>
      <c r="I5" s="1185"/>
      <c r="J5" s="118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50933350</v>
      </c>
      <c r="C30" s="289"/>
      <c r="D30" s="289">
        <v>-50933350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5834211</v>
      </c>
      <c r="C6" s="1159">
        <v>2152280</v>
      </c>
      <c r="D6" s="1005">
        <v>3681931</v>
      </c>
    </row>
    <row r="7" spans="1:6" x14ac:dyDescent="0.35">
      <c r="A7" s="995" t="s">
        <v>15338</v>
      </c>
      <c r="B7" s="1159">
        <v>3289032</v>
      </c>
      <c r="C7" s="1159">
        <v>1550000</v>
      </c>
      <c r="D7" s="1005">
        <v>1739032</v>
      </c>
    </row>
    <row r="8" spans="1:6" x14ac:dyDescent="0.35">
      <c r="A8" s="995" t="s">
        <v>14232</v>
      </c>
      <c r="B8" s="1159">
        <v>4099301</v>
      </c>
      <c r="C8" s="1159">
        <v>2456054</v>
      </c>
      <c r="D8" s="1005">
        <v>1643247</v>
      </c>
      <c r="F8" s="97"/>
    </row>
    <row r="9" spans="1:6" x14ac:dyDescent="0.35">
      <c r="A9" s="995" t="s">
        <v>6503</v>
      </c>
      <c r="B9" s="1159">
        <v>2849112</v>
      </c>
      <c r="C9" s="1159">
        <v>1270847</v>
      </c>
      <c r="D9" s="1005">
        <v>1578265</v>
      </c>
    </row>
    <row r="10" spans="1:6" x14ac:dyDescent="0.35">
      <c r="A10" s="995" t="s">
        <v>15033</v>
      </c>
      <c r="B10" s="1159">
        <v>1737377</v>
      </c>
      <c r="C10" s="1159">
        <v>160970</v>
      </c>
      <c r="D10" s="1005">
        <v>1576407</v>
      </c>
    </row>
    <row r="11" spans="1:6" x14ac:dyDescent="0.35">
      <c r="A11" s="995" t="s">
        <v>15400</v>
      </c>
      <c r="B11" s="1159">
        <v>2610376</v>
      </c>
      <c r="C11" s="1159">
        <v>1088450</v>
      </c>
      <c r="D11" s="1005">
        <v>1521926</v>
      </c>
    </row>
    <row r="12" spans="1:6" x14ac:dyDescent="0.35">
      <c r="A12" s="995" t="s">
        <v>11068</v>
      </c>
      <c r="B12" s="1159">
        <v>17909341</v>
      </c>
      <c r="C12" s="1159">
        <v>16681372</v>
      </c>
      <c r="D12" s="1005">
        <v>1227969</v>
      </c>
    </row>
    <row r="13" spans="1:6" x14ac:dyDescent="0.35">
      <c r="A13" s="995" t="s">
        <v>10220</v>
      </c>
      <c r="B13" s="1159">
        <v>13668816</v>
      </c>
      <c r="C13" s="1159">
        <v>12621108</v>
      </c>
      <c r="D13" s="1005">
        <v>1047708</v>
      </c>
    </row>
    <row r="14" spans="1:6" x14ac:dyDescent="0.35">
      <c r="A14" s="995" t="s">
        <v>14539</v>
      </c>
      <c r="B14" s="1159">
        <v>3570302</v>
      </c>
      <c r="C14" s="1159">
        <v>2531833</v>
      </c>
      <c r="D14" s="1005">
        <v>1038469</v>
      </c>
    </row>
    <row r="15" spans="1:6" x14ac:dyDescent="0.35">
      <c r="A15" s="995" t="s">
        <v>13240</v>
      </c>
      <c r="B15" s="1159">
        <v>3462827</v>
      </c>
      <c r="C15" s="1159">
        <v>2724959</v>
      </c>
      <c r="D15" s="1005">
        <v>737868</v>
      </c>
    </row>
    <row r="16" spans="1:6" x14ac:dyDescent="0.35">
      <c r="A16" s="995" t="s">
        <v>12671</v>
      </c>
      <c r="B16" s="1159">
        <v>4414198</v>
      </c>
      <c r="C16" s="1159">
        <v>3721620</v>
      </c>
      <c r="D16" s="1005">
        <v>692578</v>
      </c>
    </row>
    <row r="17" spans="1:4" x14ac:dyDescent="0.35">
      <c r="A17" s="995" t="s">
        <v>12783</v>
      </c>
      <c r="B17" s="1159">
        <v>2400664</v>
      </c>
      <c r="C17" s="1159">
        <v>1836774</v>
      </c>
      <c r="D17" s="1005">
        <v>563890</v>
      </c>
    </row>
    <row r="18" spans="1:4" x14ac:dyDescent="0.35">
      <c r="A18" s="995" t="s">
        <v>13098</v>
      </c>
      <c r="B18" s="1159">
        <v>7220520</v>
      </c>
      <c r="C18" s="1159">
        <v>6703838</v>
      </c>
      <c r="D18" s="1005">
        <v>516682</v>
      </c>
    </row>
    <row r="19" spans="1:4" x14ac:dyDescent="0.35">
      <c r="A19" s="995" t="s">
        <v>7801</v>
      </c>
      <c r="B19" s="1159">
        <v>1446185</v>
      </c>
      <c r="C19" s="1159">
        <v>1072490</v>
      </c>
      <c r="D19" s="1005">
        <v>373695</v>
      </c>
    </row>
    <row r="20" spans="1:4" x14ac:dyDescent="0.35">
      <c r="A20" s="995" t="s">
        <v>15257</v>
      </c>
      <c r="B20" s="1159">
        <v>456963</v>
      </c>
      <c r="C20" s="1159">
        <v>190000</v>
      </c>
      <c r="D20" s="1005">
        <v>266963</v>
      </c>
    </row>
    <row r="21" spans="1:4" x14ac:dyDescent="0.35">
      <c r="A21" s="995" t="s">
        <v>15260</v>
      </c>
      <c r="B21" s="1159">
        <v>466269</v>
      </c>
      <c r="C21" s="1159">
        <v>202333</v>
      </c>
      <c r="D21" s="1005">
        <v>263936</v>
      </c>
    </row>
    <row r="22" spans="1:4" x14ac:dyDescent="0.35">
      <c r="A22" s="1092" t="s">
        <v>10472</v>
      </c>
      <c r="B22" s="1159">
        <v>198258</v>
      </c>
      <c r="C22" s="1159"/>
      <c r="D22" s="1005">
        <v>198258</v>
      </c>
    </row>
    <row r="23" spans="1:4" x14ac:dyDescent="0.35">
      <c r="A23" s="1092" t="s">
        <v>2195</v>
      </c>
      <c r="B23" s="1159">
        <v>35470</v>
      </c>
      <c r="C23" s="1159"/>
      <c r="D23" s="1005">
        <v>35470</v>
      </c>
    </row>
    <row r="24" spans="1:4" x14ac:dyDescent="0.35">
      <c r="A24" s="1092" t="s">
        <v>8384</v>
      </c>
      <c r="B24" s="1159">
        <v>230208</v>
      </c>
      <c r="C24" s="1159">
        <v>200000</v>
      </c>
      <c r="D24" s="1005">
        <v>30208</v>
      </c>
    </row>
    <row r="25" spans="1:4" x14ac:dyDescent="0.35">
      <c r="A25" s="1092" t="s">
        <v>164</v>
      </c>
      <c r="B25" s="1159">
        <v>2333</v>
      </c>
      <c r="C25" s="1159">
        <v>2333</v>
      </c>
      <c r="D25" s="1005">
        <v>0</v>
      </c>
    </row>
    <row r="26" spans="1:4" x14ac:dyDescent="0.35">
      <c r="A26" s="995" t="s">
        <v>15100</v>
      </c>
      <c r="B26" s="1159">
        <v>559170</v>
      </c>
      <c r="C26" s="1159">
        <v>350000</v>
      </c>
      <c r="D26" s="1005">
        <v>209170</v>
      </c>
    </row>
    <row r="27" spans="1:4" x14ac:dyDescent="0.35">
      <c r="A27" s="1092" t="s">
        <v>166</v>
      </c>
      <c r="B27" s="1159">
        <v>132000</v>
      </c>
      <c r="C27" s="1159"/>
      <c r="D27" s="1098">
        <v>132000</v>
      </c>
    </row>
    <row r="28" spans="1:4" x14ac:dyDescent="0.35">
      <c r="A28" s="1092" t="s">
        <v>8384</v>
      </c>
      <c r="B28" s="1159">
        <v>403900</v>
      </c>
      <c r="C28" s="1159">
        <v>350000</v>
      </c>
      <c r="D28" s="1005">
        <v>53900</v>
      </c>
    </row>
    <row r="29" spans="1:4" x14ac:dyDescent="0.35">
      <c r="A29" s="1092" t="s">
        <v>168</v>
      </c>
      <c r="B29" s="1159">
        <v>23270</v>
      </c>
      <c r="C29" s="1159"/>
      <c r="D29" s="1098">
        <v>23270</v>
      </c>
    </row>
    <row r="30" spans="1:4" x14ac:dyDescent="0.35">
      <c r="A30" s="995" t="s">
        <v>13475</v>
      </c>
      <c r="B30" s="1159">
        <v>177451</v>
      </c>
      <c r="C30" s="1159">
        <v>77451</v>
      </c>
      <c r="D30" s="1005">
        <v>100000</v>
      </c>
    </row>
    <row r="31" spans="1:4" x14ac:dyDescent="0.35">
      <c r="A31" s="995" t="s">
        <v>13904</v>
      </c>
      <c r="B31" s="1159">
        <v>167500</v>
      </c>
      <c r="C31" s="1159">
        <v>69729</v>
      </c>
      <c r="D31" s="1005">
        <v>97771</v>
      </c>
    </row>
    <row r="32" spans="1:4" x14ac:dyDescent="0.35">
      <c r="A32" s="995" t="s">
        <v>15310</v>
      </c>
      <c r="B32" s="1159">
        <v>1043601</v>
      </c>
      <c r="C32" s="1159">
        <v>950000</v>
      </c>
      <c r="D32" s="1005">
        <v>93601</v>
      </c>
    </row>
    <row r="33" spans="1:4" x14ac:dyDescent="0.35">
      <c r="A33" s="995" t="s">
        <v>14596</v>
      </c>
      <c r="B33" s="1159">
        <v>292744</v>
      </c>
      <c r="C33" s="1159">
        <v>200000</v>
      </c>
      <c r="D33" s="1005">
        <v>92744</v>
      </c>
    </row>
    <row r="34" spans="1:4" hidden="1" x14ac:dyDescent="0.35">
      <c r="A34" s="1092" t="s">
        <v>8384</v>
      </c>
      <c r="B34" s="1159">
        <v>292744</v>
      </c>
      <c r="C34" s="1159">
        <v>200000</v>
      </c>
      <c r="D34" s="1005">
        <v>92744</v>
      </c>
    </row>
    <row r="35" spans="1:4" hidden="1" x14ac:dyDescent="0.35">
      <c r="A35" s="995" t="s">
        <v>13213</v>
      </c>
      <c r="B35" s="1159">
        <v>9165250</v>
      </c>
      <c r="C35" s="1159">
        <v>9075437</v>
      </c>
      <c r="D35" s="1005">
        <v>89813</v>
      </c>
    </row>
    <row r="36" spans="1:4" hidden="1" x14ac:dyDescent="0.35">
      <c r="A36" s="995" t="s">
        <v>13278</v>
      </c>
      <c r="B36" s="1159">
        <v>416952</v>
      </c>
      <c r="C36" s="1159">
        <v>335399</v>
      </c>
      <c r="D36" s="1005">
        <v>81553</v>
      </c>
    </row>
    <row r="37" spans="1:4" hidden="1" x14ac:dyDescent="0.35">
      <c r="A37" s="995" t="s">
        <v>12594</v>
      </c>
      <c r="B37" s="1159">
        <v>478169</v>
      </c>
      <c r="C37" s="1159">
        <v>413362</v>
      </c>
      <c r="D37" s="1005">
        <v>64807</v>
      </c>
    </row>
    <row r="38" spans="1:4" hidden="1" x14ac:dyDescent="0.35">
      <c r="A38" s="995" t="s">
        <v>13519</v>
      </c>
      <c r="B38" s="1159">
        <v>1192404</v>
      </c>
      <c r="C38" s="1159">
        <v>1143904</v>
      </c>
      <c r="D38" s="1005">
        <v>48500</v>
      </c>
    </row>
    <row r="39" spans="1:4" hidden="1" x14ac:dyDescent="0.35">
      <c r="A39" s="995" t="s">
        <v>10284</v>
      </c>
      <c r="B39" s="1159">
        <v>1585166</v>
      </c>
      <c r="C39" s="1159">
        <v>1556673</v>
      </c>
      <c r="D39" s="1005">
        <v>28493</v>
      </c>
    </row>
    <row r="40" spans="1:4" hidden="1" x14ac:dyDescent="0.35">
      <c r="A40" s="995" t="s">
        <v>11423</v>
      </c>
      <c r="B40" s="1159">
        <v>1135859</v>
      </c>
      <c r="C40" s="1159">
        <v>1115883</v>
      </c>
      <c r="D40" s="1005">
        <v>19976</v>
      </c>
    </row>
    <row r="41" spans="1:4" hidden="1" x14ac:dyDescent="0.35">
      <c r="A41" s="995" t="s">
        <v>11</v>
      </c>
      <c r="B41" s="1159">
        <v>190221</v>
      </c>
      <c r="C41" s="1159">
        <v>171670</v>
      </c>
      <c r="D41" s="1005">
        <v>18551</v>
      </c>
    </row>
    <row r="42" spans="1:4" hidden="1" x14ac:dyDescent="0.35">
      <c r="A42" s="995" t="s">
        <v>15004</v>
      </c>
      <c r="B42" s="1159">
        <v>53554</v>
      </c>
      <c r="C42" s="1159">
        <v>39000</v>
      </c>
      <c r="D42" s="1005">
        <v>14554</v>
      </c>
    </row>
    <row r="43" spans="1:4" hidden="1" x14ac:dyDescent="0.35">
      <c r="A43" s="995" t="s">
        <v>12171</v>
      </c>
      <c r="B43" s="1159">
        <v>4325162</v>
      </c>
      <c r="C43" s="1159">
        <v>4318307</v>
      </c>
      <c r="D43" s="1005">
        <v>6855</v>
      </c>
    </row>
    <row r="44" spans="1:4" hidden="1" x14ac:dyDescent="0.35">
      <c r="A44" s="995" t="s">
        <v>9344</v>
      </c>
      <c r="B44" s="1159">
        <v>4450511</v>
      </c>
      <c r="C44" s="1159">
        <v>4448561</v>
      </c>
      <c r="D44" s="1005">
        <v>1950</v>
      </c>
    </row>
    <row r="45" spans="1:4" hidden="1" x14ac:dyDescent="0.35">
      <c r="A45" s="995" t="s">
        <v>13417</v>
      </c>
      <c r="B45" s="1159">
        <v>1736281</v>
      </c>
      <c r="C45" s="1159">
        <v>1735021</v>
      </c>
      <c r="D45" s="1005">
        <v>1260</v>
      </c>
    </row>
    <row r="46" spans="1:4" hidden="1" x14ac:dyDescent="0.35">
      <c r="A46" s="995" t="s">
        <v>13165</v>
      </c>
      <c r="B46" s="1159">
        <v>4937023</v>
      </c>
      <c r="C46" s="1159">
        <v>4936334</v>
      </c>
      <c r="D46" s="1005">
        <v>689</v>
      </c>
    </row>
    <row r="47" spans="1:4" hidden="1" x14ac:dyDescent="0.35">
      <c r="A47" s="995" t="s">
        <v>9757</v>
      </c>
      <c r="B47" s="1159">
        <v>6398047</v>
      </c>
      <c r="C47" s="1159">
        <v>6398047</v>
      </c>
      <c r="D47" s="1005">
        <v>0</v>
      </c>
    </row>
    <row r="48" spans="1:4" hidden="1" x14ac:dyDescent="0.35">
      <c r="A48" s="995" t="s">
        <v>154</v>
      </c>
      <c r="B48" s="1159">
        <v>252400</v>
      </c>
      <c r="C48" s="1159">
        <v>252400</v>
      </c>
      <c r="D48" s="1005">
        <v>0</v>
      </c>
    </row>
    <row r="49" spans="1:4" hidden="1" x14ac:dyDescent="0.35">
      <c r="A49" s="995" t="s">
        <v>36</v>
      </c>
      <c r="B49" s="1159">
        <v>11281</v>
      </c>
      <c r="C49" s="1159">
        <v>11281</v>
      </c>
      <c r="D49" s="1005">
        <v>0</v>
      </c>
    </row>
    <row r="50" spans="1:4" hidden="1" x14ac:dyDescent="0.35">
      <c r="A50" s="995" t="s">
        <v>1205</v>
      </c>
      <c r="B50" s="1159">
        <v>263340</v>
      </c>
      <c r="C50" s="1159">
        <v>263340</v>
      </c>
      <c r="D50" s="1005">
        <v>0</v>
      </c>
    </row>
    <row r="51" spans="1:4" hidden="1" x14ac:dyDescent="0.35">
      <c r="A51" s="995" t="s">
        <v>8547</v>
      </c>
      <c r="B51" s="1159">
        <v>2892546</v>
      </c>
      <c r="C51" s="1159">
        <v>2892546</v>
      </c>
      <c r="D51" s="1005">
        <v>0</v>
      </c>
    </row>
    <row r="52" spans="1:4" hidden="1" x14ac:dyDescent="0.35">
      <c r="A52" s="995" t="s">
        <v>1492</v>
      </c>
      <c r="B52" s="1159">
        <v>188750</v>
      </c>
      <c r="C52" s="1159">
        <v>188750</v>
      </c>
      <c r="D52" s="1005">
        <v>0</v>
      </c>
    </row>
    <row r="53" spans="1:4" hidden="1" x14ac:dyDescent="0.35">
      <c r="A53" s="995" t="s">
        <v>10559</v>
      </c>
      <c r="B53" s="1159">
        <v>1846282</v>
      </c>
      <c r="C53" s="1159">
        <v>1846282</v>
      </c>
      <c r="D53" s="1005">
        <v>0</v>
      </c>
    </row>
    <row r="54" spans="1:4" hidden="1" x14ac:dyDescent="0.35">
      <c r="A54" s="995" t="s">
        <v>33</v>
      </c>
      <c r="B54" s="1159">
        <v>569111</v>
      </c>
      <c r="C54" s="1159">
        <v>569111</v>
      </c>
      <c r="D54" s="1005">
        <v>0</v>
      </c>
    </row>
    <row r="55" spans="1:4" hidden="1" x14ac:dyDescent="0.35">
      <c r="A55" s="995" t="s">
        <v>464</v>
      </c>
      <c r="B55" s="1159">
        <v>3188510</v>
      </c>
      <c r="C55" s="1159">
        <v>3188510</v>
      </c>
      <c r="D55" s="1005">
        <v>0</v>
      </c>
    </row>
    <row r="56" spans="1:4" hidden="1" x14ac:dyDescent="0.35">
      <c r="A56" s="995" t="s">
        <v>1806</v>
      </c>
      <c r="B56" s="1159">
        <v>4800</v>
      </c>
      <c r="C56" s="1159">
        <v>4800</v>
      </c>
      <c r="D56" s="1005">
        <v>0</v>
      </c>
    </row>
    <row r="57" spans="1:4" hidden="1" x14ac:dyDescent="0.35">
      <c r="A57" s="995" t="s">
        <v>82</v>
      </c>
      <c r="B57" s="1159">
        <v>732794</v>
      </c>
      <c r="C57" s="1159">
        <v>732794</v>
      </c>
      <c r="D57" s="1005">
        <v>0</v>
      </c>
    </row>
    <row r="58" spans="1:4" hidden="1" x14ac:dyDescent="0.35">
      <c r="A58" s="995" t="s">
        <v>1690</v>
      </c>
      <c r="B58" s="1159">
        <v>13508</v>
      </c>
      <c r="C58" s="1159">
        <v>13508</v>
      </c>
      <c r="D58" s="1005">
        <v>0</v>
      </c>
    </row>
    <row r="59" spans="1:4" hidden="1" x14ac:dyDescent="0.35">
      <c r="A59" s="995" t="s">
        <v>8864</v>
      </c>
      <c r="B59" s="1159">
        <v>2901296</v>
      </c>
      <c r="C59" s="1159">
        <v>2901296</v>
      </c>
      <c r="D59" s="1005">
        <v>0</v>
      </c>
    </row>
    <row r="60" spans="1:4" hidden="1" x14ac:dyDescent="0.35">
      <c r="A60" s="995" t="s">
        <v>2022</v>
      </c>
      <c r="B60" s="1159">
        <v>290962</v>
      </c>
      <c r="C60" s="1159">
        <v>290962</v>
      </c>
      <c r="D60" s="1005">
        <v>0</v>
      </c>
    </row>
    <row r="61" spans="1:4" hidden="1" x14ac:dyDescent="0.35">
      <c r="A61" s="995" t="s">
        <v>2270</v>
      </c>
      <c r="B61" s="1159">
        <v>166908</v>
      </c>
      <c r="C61" s="1159">
        <v>166908</v>
      </c>
      <c r="D61" s="1005">
        <v>0</v>
      </c>
    </row>
    <row r="62" spans="1:4" hidden="1" x14ac:dyDescent="0.35">
      <c r="A62" s="995" t="s">
        <v>32</v>
      </c>
      <c r="B62" s="1159">
        <v>327433</v>
      </c>
      <c r="C62" s="1159">
        <v>327433</v>
      </c>
      <c r="D62" s="1005">
        <v>0</v>
      </c>
    </row>
    <row r="63" spans="1:4" hidden="1" x14ac:dyDescent="0.35">
      <c r="A63" s="995" t="s">
        <v>10564</v>
      </c>
      <c r="B63" s="1159">
        <v>21004486</v>
      </c>
      <c r="C63" s="1159">
        <v>21004486</v>
      </c>
      <c r="D63" s="1005">
        <v>0</v>
      </c>
    </row>
    <row r="64" spans="1:4" hidden="1" x14ac:dyDescent="0.35">
      <c r="A64" s="995" t="s">
        <v>2042</v>
      </c>
      <c r="B64" s="1159">
        <v>91259</v>
      </c>
      <c r="C64" s="1159">
        <v>91259</v>
      </c>
      <c r="D64" s="1005">
        <v>0</v>
      </c>
    </row>
    <row r="65" spans="1:4" hidden="1" x14ac:dyDescent="0.35">
      <c r="A65" s="995" t="s">
        <v>11488</v>
      </c>
      <c r="B65" s="1159">
        <v>576715</v>
      </c>
      <c r="C65" s="1159">
        <v>576715</v>
      </c>
      <c r="D65" s="1005">
        <v>0</v>
      </c>
    </row>
    <row r="66" spans="1:4" hidden="1" x14ac:dyDescent="0.35">
      <c r="A66" s="995" t="s">
        <v>2262</v>
      </c>
      <c r="B66" s="1159">
        <v>81323</v>
      </c>
      <c r="C66" s="1159">
        <v>81323</v>
      </c>
      <c r="D66" s="1005">
        <v>0</v>
      </c>
    </row>
    <row r="67" spans="1:4" hidden="1" x14ac:dyDescent="0.35">
      <c r="A67" s="995" t="s">
        <v>1086</v>
      </c>
      <c r="B67" s="1159">
        <v>88730</v>
      </c>
      <c r="C67" s="1159">
        <v>88730</v>
      </c>
      <c r="D67" s="1005">
        <v>0</v>
      </c>
    </row>
    <row r="68" spans="1:4" hidden="1" x14ac:dyDescent="0.35">
      <c r="A68" s="995" t="s">
        <v>2226</v>
      </c>
      <c r="B68" s="1159">
        <v>381380</v>
      </c>
      <c r="C68" s="1159">
        <v>381380</v>
      </c>
      <c r="D68" s="1005">
        <v>0</v>
      </c>
    </row>
    <row r="69" spans="1:4" hidden="1" x14ac:dyDescent="0.35">
      <c r="A69" s="995" t="s">
        <v>2403</v>
      </c>
      <c r="B69" s="1159">
        <v>907</v>
      </c>
      <c r="C69" s="1159">
        <v>907</v>
      </c>
      <c r="D69" s="1005">
        <v>0</v>
      </c>
    </row>
    <row r="70" spans="1:4" hidden="1" x14ac:dyDescent="0.35">
      <c r="A70" s="995" t="s">
        <v>1804</v>
      </c>
      <c r="B70" s="1159">
        <v>236720</v>
      </c>
      <c r="C70" s="1159">
        <v>236720</v>
      </c>
      <c r="D70" s="1005">
        <v>0</v>
      </c>
    </row>
    <row r="71" spans="1:4" hidden="1" x14ac:dyDescent="0.35">
      <c r="A71" s="995" t="s">
        <v>2547</v>
      </c>
      <c r="B71" s="1159">
        <v>42578</v>
      </c>
      <c r="C71" s="1159">
        <v>42578</v>
      </c>
      <c r="D71" s="1005">
        <v>0</v>
      </c>
    </row>
    <row r="72" spans="1:4" hidden="1" x14ac:dyDescent="0.35">
      <c r="A72" s="995" t="s">
        <v>8068</v>
      </c>
      <c r="B72" s="1159">
        <v>142848</v>
      </c>
      <c r="C72" s="1159">
        <v>142848</v>
      </c>
      <c r="D72" s="1005">
        <v>0</v>
      </c>
    </row>
    <row r="73" spans="1:4" hidden="1" x14ac:dyDescent="0.35">
      <c r="A73" s="995" t="s">
        <v>2651</v>
      </c>
      <c r="B73" s="1159">
        <v>9647104</v>
      </c>
      <c r="C73" s="1159">
        <v>9647104</v>
      </c>
      <c r="D73" s="1005">
        <v>0</v>
      </c>
    </row>
    <row r="74" spans="1:4" s="1006" customFormat="1" hidden="1" x14ac:dyDescent="0.35">
      <c r="A74" s="995" t="s">
        <v>8645</v>
      </c>
      <c r="B74" s="1159">
        <v>11292323</v>
      </c>
      <c r="C74" s="1159">
        <v>11292323</v>
      </c>
      <c r="D74" s="1005">
        <v>0</v>
      </c>
    </row>
    <row r="75" spans="1:4" hidden="1" x14ac:dyDescent="0.35">
      <c r="A75" s="995" t="s">
        <v>2318</v>
      </c>
      <c r="B75" s="1159">
        <v>39773</v>
      </c>
      <c r="C75" s="1159">
        <v>39773</v>
      </c>
      <c r="D75" s="1005">
        <v>0</v>
      </c>
    </row>
    <row r="76" spans="1:4" hidden="1" x14ac:dyDescent="0.35">
      <c r="A76" s="995" t="s">
        <v>9495</v>
      </c>
      <c r="B76" s="1159">
        <v>69638</v>
      </c>
      <c r="C76" s="1159">
        <v>69638</v>
      </c>
      <c r="D76" s="1005">
        <v>0</v>
      </c>
    </row>
    <row r="77" spans="1:4" hidden="1" x14ac:dyDescent="0.35">
      <c r="A77" s="995" t="s">
        <v>3383</v>
      </c>
      <c r="B77" s="1159">
        <v>4145</v>
      </c>
      <c r="C77" s="1159">
        <v>4145</v>
      </c>
      <c r="D77" s="1005">
        <v>0</v>
      </c>
    </row>
    <row r="78" spans="1:4" hidden="1" x14ac:dyDescent="0.35">
      <c r="A78" s="995" t="s">
        <v>12251</v>
      </c>
      <c r="B78" s="1159">
        <v>1278570</v>
      </c>
      <c r="C78" s="1159">
        <v>1278570</v>
      </c>
      <c r="D78" s="1005">
        <v>0</v>
      </c>
    </row>
    <row r="79" spans="1:4" hidden="1" x14ac:dyDescent="0.35">
      <c r="A79" s="995" t="s">
        <v>3400</v>
      </c>
      <c r="B79" s="1159">
        <v>25920</v>
      </c>
      <c r="C79" s="1159">
        <v>25920</v>
      </c>
      <c r="D79" s="1005">
        <v>0</v>
      </c>
    </row>
    <row r="80" spans="1:4" hidden="1" x14ac:dyDescent="0.35">
      <c r="A80" s="995" t="s">
        <v>10459</v>
      </c>
      <c r="B80" s="1159">
        <v>1683705</v>
      </c>
      <c r="C80" s="1159">
        <v>1683705</v>
      </c>
      <c r="D80" s="1005">
        <v>0</v>
      </c>
    </row>
    <row r="81" spans="1:4" hidden="1" x14ac:dyDescent="0.35">
      <c r="A81" s="995" t="s">
        <v>3621</v>
      </c>
      <c r="B81" s="1159">
        <v>1205380</v>
      </c>
      <c r="C81" s="1159">
        <v>1205380</v>
      </c>
      <c r="D81" s="1005">
        <v>0</v>
      </c>
    </row>
    <row r="82" spans="1:4" hidden="1" x14ac:dyDescent="0.35">
      <c r="A82" s="995" t="s">
        <v>672</v>
      </c>
      <c r="B82" s="1159">
        <v>629934</v>
      </c>
      <c r="C82" s="1159">
        <v>629934</v>
      </c>
      <c r="D82" s="1005">
        <v>0</v>
      </c>
    </row>
    <row r="83" spans="1:4" hidden="1" x14ac:dyDescent="0.35">
      <c r="A83" s="995" t="s">
        <v>1675</v>
      </c>
      <c r="B83" s="1159">
        <v>155133</v>
      </c>
      <c r="C83" s="1159">
        <v>155133</v>
      </c>
      <c r="D83" s="1005">
        <v>0</v>
      </c>
    </row>
    <row r="84" spans="1:4" hidden="1" x14ac:dyDescent="0.35">
      <c r="A84" s="995" t="s">
        <v>10986</v>
      </c>
      <c r="B84" s="1159">
        <v>69890</v>
      </c>
      <c r="C84" s="1159">
        <v>69890</v>
      </c>
      <c r="D84" s="1005">
        <v>0</v>
      </c>
    </row>
    <row r="85" spans="1:4" hidden="1" x14ac:dyDescent="0.35">
      <c r="A85" s="995" t="s">
        <v>18</v>
      </c>
      <c r="B85" s="1159">
        <v>150590</v>
      </c>
      <c r="C85" s="1159">
        <v>150590</v>
      </c>
      <c r="D85" s="1005">
        <v>0</v>
      </c>
    </row>
    <row r="86" spans="1:4" hidden="1" x14ac:dyDescent="0.35">
      <c r="A86" s="995" t="s">
        <v>11685</v>
      </c>
      <c r="B86" s="1159">
        <v>62941</v>
      </c>
      <c r="C86" s="1159">
        <v>62941</v>
      </c>
      <c r="D86" s="1005">
        <v>0</v>
      </c>
    </row>
    <row r="87" spans="1:4" hidden="1" x14ac:dyDescent="0.35">
      <c r="A87" s="995" t="s">
        <v>4720</v>
      </c>
      <c r="B87" s="1159">
        <v>644100</v>
      </c>
      <c r="C87" s="1159">
        <v>644100</v>
      </c>
      <c r="D87" s="1005">
        <v>0</v>
      </c>
    </row>
    <row r="88" spans="1:4" hidden="1" x14ac:dyDescent="0.35">
      <c r="A88" s="995" t="s">
        <v>10110</v>
      </c>
      <c r="B88" s="1159">
        <v>80000</v>
      </c>
      <c r="C88" s="1159">
        <v>80000</v>
      </c>
      <c r="D88" s="1005">
        <v>0</v>
      </c>
    </row>
    <row r="89" spans="1:4" hidden="1" x14ac:dyDescent="0.35">
      <c r="A89" s="995" t="s">
        <v>4883</v>
      </c>
      <c r="B89" s="1159">
        <v>262657</v>
      </c>
      <c r="C89" s="1159">
        <v>262657</v>
      </c>
      <c r="D89" s="1005">
        <v>0</v>
      </c>
    </row>
    <row r="90" spans="1:4" hidden="1" x14ac:dyDescent="0.35">
      <c r="A90" s="995" t="s">
        <v>12774</v>
      </c>
      <c r="B90" s="1159">
        <v>285639</v>
      </c>
      <c r="C90" s="1159">
        <v>285639</v>
      </c>
      <c r="D90" s="1005">
        <v>0</v>
      </c>
    </row>
    <row r="91" spans="1:4" hidden="1" x14ac:dyDescent="0.35">
      <c r="A91" s="995" t="s">
        <v>5051</v>
      </c>
      <c r="B91" s="1159">
        <v>206944</v>
      </c>
      <c r="C91" s="1159">
        <v>206944</v>
      </c>
      <c r="D91" s="1005">
        <v>0</v>
      </c>
    </row>
    <row r="92" spans="1:4" hidden="1" x14ac:dyDescent="0.35">
      <c r="A92" s="995" t="s">
        <v>1396</v>
      </c>
      <c r="B92" s="1159">
        <v>3227014</v>
      </c>
      <c r="C92" s="1159">
        <v>3227014</v>
      </c>
      <c r="D92" s="1005">
        <v>0</v>
      </c>
    </row>
    <row r="93" spans="1:4" hidden="1" x14ac:dyDescent="0.35">
      <c r="A93" s="995" t="s">
        <v>4813</v>
      </c>
      <c r="B93" s="1159">
        <v>15712</v>
      </c>
      <c r="C93" s="1159">
        <v>15712</v>
      </c>
      <c r="D93" s="1005">
        <v>0</v>
      </c>
    </row>
    <row r="94" spans="1:4" hidden="1" x14ac:dyDescent="0.35">
      <c r="A94" s="995" t="s">
        <v>13636</v>
      </c>
      <c r="B94" s="1159">
        <v>69559</v>
      </c>
      <c r="C94" s="1159">
        <v>69559</v>
      </c>
      <c r="D94" s="1005">
        <v>0</v>
      </c>
    </row>
    <row r="95" spans="1:4" hidden="1" x14ac:dyDescent="0.35">
      <c r="A95" s="995" t="s">
        <v>5226</v>
      </c>
      <c r="B95" s="1159">
        <v>862774</v>
      </c>
      <c r="C95" s="1159">
        <v>862774</v>
      </c>
      <c r="D95" s="1005">
        <v>0</v>
      </c>
    </row>
    <row r="96" spans="1:4" hidden="1" x14ac:dyDescent="0.35">
      <c r="A96" s="995" t="s">
        <v>394</v>
      </c>
      <c r="B96" s="1159">
        <v>51141</v>
      </c>
      <c r="C96" s="1159">
        <v>51141</v>
      </c>
      <c r="D96" s="1005">
        <v>0</v>
      </c>
    </row>
    <row r="97" spans="1:4" hidden="1" x14ac:dyDescent="0.35">
      <c r="A97" s="995" t="s">
        <v>5319</v>
      </c>
      <c r="B97" s="1159">
        <v>52679</v>
      </c>
      <c r="C97" s="1159">
        <v>52679</v>
      </c>
      <c r="D97" s="1005">
        <v>0</v>
      </c>
    </row>
    <row r="98" spans="1:4" hidden="1" x14ac:dyDescent="0.35">
      <c r="A98" s="995" t="s">
        <v>962</v>
      </c>
      <c r="B98" s="1159">
        <v>144342</v>
      </c>
      <c r="C98" s="1159">
        <v>144342</v>
      </c>
      <c r="D98" s="1005">
        <v>0</v>
      </c>
    </row>
    <row r="99" spans="1:4" hidden="1" x14ac:dyDescent="0.35">
      <c r="A99" s="995" t="s">
        <v>5547</v>
      </c>
      <c r="B99" s="1159">
        <v>202398</v>
      </c>
      <c r="C99" s="1159">
        <v>202398</v>
      </c>
      <c r="D99" s="1005">
        <v>0</v>
      </c>
    </row>
    <row r="100" spans="1:4" hidden="1" x14ac:dyDescent="0.35">
      <c r="A100" s="995" t="s">
        <v>8034</v>
      </c>
      <c r="B100" s="1159">
        <v>11932427</v>
      </c>
      <c r="C100" s="1159">
        <v>11932427</v>
      </c>
      <c r="D100" s="1005">
        <v>0</v>
      </c>
    </row>
    <row r="101" spans="1:4" hidden="1" x14ac:dyDescent="0.35">
      <c r="A101" s="995" t="s">
        <v>5708</v>
      </c>
      <c r="B101" s="1159">
        <v>189460</v>
      </c>
      <c r="C101" s="1159">
        <v>189460</v>
      </c>
      <c r="D101" s="1005">
        <v>0</v>
      </c>
    </row>
    <row r="102" spans="1:4" hidden="1" x14ac:dyDescent="0.35">
      <c r="A102" s="995" t="s">
        <v>8329</v>
      </c>
      <c r="B102" s="1159">
        <v>6661900</v>
      </c>
      <c r="C102" s="1159">
        <v>6661900</v>
      </c>
      <c r="D102" s="1005">
        <v>0</v>
      </c>
    </row>
    <row r="103" spans="1:4" hidden="1" x14ac:dyDescent="0.35">
      <c r="A103" s="995" t="s">
        <v>5719</v>
      </c>
      <c r="B103" s="1159">
        <v>271758</v>
      </c>
      <c r="C103" s="1159">
        <v>271758</v>
      </c>
      <c r="D103" s="1005">
        <v>0</v>
      </c>
    </row>
    <row r="104" spans="1:4" hidden="1" x14ac:dyDescent="0.35">
      <c r="A104" s="995" t="s">
        <v>8521</v>
      </c>
      <c r="B104" s="1159">
        <v>235522</v>
      </c>
      <c r="C104" s="1159">
        <v>235522</v>
      </c>
      <c r="D104" s="1005">
        <v>0</v>
      </c>
    </row>
    <row r="105" spans="1:4" hidden="1" x14ac:dyDescent="0.35">
      <c r="A105" s="995" t="s">
        <v>5728</v>
      </c>
      <c r="B105" s="1159">
        <v>20800</v>
      </c>
      <c r="C105" s="1159">
        <v>20800</v>
      </c>
      <c r="D105" s="1005">
        <v>0</v>
      </c>
    </row>
    <row r="106" spans="1:4" hidden="1" x14ac:dyDescent="0.35">
      <c r="A106" s="995" t="s">
        <v>8856</v>
      </c>
      <c r="B106" s="1159">
        <v>1899307</v>
      </c>
      <c r="C106" s="1159">
        <v>1899307</v>
      </c>
      <c r="D106" s="1005">
        <v>0</v>
      </c>
    </row>
    <row r="107" spans="1:4" hidden="1" x14ac:dyDescent="0.35">
      <c r="A107" s="995" t="s">
        <v>5810</v>
      </c>
      <c r="B107" s="1159">
        <v>317719</v>
      </c>
      <c r="C107" s="1159">
        <v>317719</v>
      </c>
      <c r="D107" s="1005">
        <v>0</v>
      </c>
    </row>
    <row r="108" spans="1:4" hidden="1" x14ac:dyDescent="0.35">
      <c r="A108" s="995" t="s">
        <v>9397</v>
      </c>
      <c r="B108" s="1159">
        <v>1080276</v>
      </c>
      <c r="C108" s="1159">
        <v>1080276</v>
      </c>
      <c r="D108" s="1005">
        <v>0</v>
      </c>
    </row>
    <row r="109" spans="1:4" hidden="1" x14ac:dyDescent="0.35">
      <c r="A109" s="995" t="s">
        <v>6102</v>
      </c>
      <c r="B109" s="1159">
        <v>126398</v>
      </c>
      <c r="C109" s="1159">
        <v>126398</v>
      </c>
      <c r="D109" s="1005">
        <v>0</v>
      </c>
    </row>
    <row r="110" spans="1:4" hidden="1" x14ac:dyDescent="0.35">
      <c r="A110" s="995" t="s">
        <v>9649</v>
      </c>
      <c r="B110" s="1159">
        <v>2984053</v>
      </c>
      <c r="C110" s="1159">
        <v>2984053</v>
      </c>
      <c r="D110" s="1005">
        <v>0</v>
      </c>
    </row>
    <row r="111" spans="1:4" hidden="1" x14ac:dyDescent="0.35">
      <c r="A111" s="995" t="s">
        <v>6247</v>
      </c>
      <c r="B111" s="1159">
        <v>64600</v>
      </c>
      <c r="C111" s="1159">
        <v>64600</v>
      </c>
      <c r="D111" s="1005">
        <v>0</v>
      </c>
    </row>
    <row r="112" spans="1:4" hidden="1" x14ac:dyDescent="0.35">
      <c r="A112" s="995" t="s">
        <v>9955</v>
      </c>
      <c r="B112" s="1159">
        <v>385571</v>
      </c>
      <c r="C112" s="1159">
        <v>385571</v>
      </c>
      <c r="D112" s="1005">
        <v>0</v>
      </c>
    </row>
    <row r="113" spans="1:4" hidden="1" x14ac:dyDescent="0.35">
      <c r="A113" s="995" t="s">
        <v>6407</v>
      </c>
      <c r="B113" s="1159">
        <v>959942</v>
      </c>
      <c r="C113" s="1159">
        <v>959942</v>
      </c>
      <c r="D113" s="1005">
        <v>0</v>
      </c>
    </row>
    <row r="114" spans="1:4" hidden="1" x14ac:dyDescent="0.35">
      <c r="A114" s="995" t="s">
        <v>10139</v>
      </c>
      <c r="B114" s="1159">
        <v>2384019</v>
      </c>
      <c r="C114" s="1159">
        <v>2384019</v>
      </c>
      <c r="D114" s="1005">
        <v>0</v>
      </c>
    </row>
    <row r="115" spans="1:4" hidden="1" x14ac:dyDescent="0.35">
      <c r="A115" s="995" t="s">
        <v>6505</v>
      </c>
      <c r="B115" s="1159">
        <v>74613</v>
      </c>
      <c r="C115" s="1159">
        <v>74613</v>
      </c>
      <c r="D115" s="1005">
        <v>0</v>
      </c>
    </row>
    <row r="116" spans="1:4" hidden="1" x14ac:dyDescent="0.35">
      <c r="A116" s="995" t="s">
        <v>39</v>
      </c>
      <c r="B116" s="1159">
        <v>65000</v>
      </c>
      <c r="C116" s="1159">
        <v>65000</v>
      </c>
      <c r="D116" s="1005">
        <v>0</v>
      </c>
    </row>
    <row r="117" spans="1:4" hidden="1" x14ac:dyDescent="0.35">
      <c r="A117" s="995" t="s">
        <v>6506</v>
      </c>
      <c r="B117" s="1159">
        <v>798186</v>
      </c>
      <c r="C117" s="1159">
        <v>798186</v>
      </c>
      <c r="D117" s="1005">
        <v>0</v>
      </c>
    </row>
    <row r="118" spans="1:4" hidden="1" x14ac:dyDescent="0.35">
      <c r="A118" s="995" t="s">
        <v>2786</v>
      </c>
      <c r="B118" s="1159">
        <v>4910436</v>
      </c>
      <c r="C118" s="1159">
        <v>4910436</v>
      </c>
      <c r="D118" s="1005">
        <v>0</v>
      </c>
    </row>
    <row r="119" spans="1:4" hidden="1" x14ac:dyDescent="0.35">
      <c r="A119" s="995" t="s">
        <v>6509</v>
      </c>
      <c r="B119" s="1159">
        <v>1741940</v>
      </c>
      <c r="C119" s="1159">
        <v>1741940</v>
      </c>
      <c r="D119" s="1005">
        <v>0</v>
      </c>
    </row>
    <row r="120" spans="1:4" x14ac:dyDescent="0.35">
      <c r="A120" s="995" t="s">
        <v>40</v>
      </c>
      <c r="B120" s="1159">
        <v>4949540</v>
      </c>
      <c r="C120" s="1159">
        <v>4949540</v>
      </c>
      <c r="D120" s="1005">
        <v>0</v>
      </c>
    </row>
    <row r="121" spans="1:4" x14ac:dyDescent="0.35">
      <c r="A121" s="995" t="s">
        <v>6718</v>
      </c>
      <c r="B121" s="1159">
        <v>270400</v>
      </c>
      <c r="C121" s="1159">
        <v>270400</v>
      </c>
      <c r="D121" s="1005">
        <v>0</v>
      </c>
    </row>
    <row r="122" spans="1:4" x14ac:dyDescent="0.35">
      <c r="A122" s="995" t="s">
        <v>10892</v>
      </c>
      <c r="B122" s="1159">
        <v>79935</v>
      </c>
      <c r="C122" s="1159">
        <v>79935</v>
      </c>
      <c r="D122" s="1005">
        <v>0</v>
      </c>
    </row>
    <row r="123" spans="1:4" x14ac:dyDescent="0.35">
      <c r="A123" s="995" t="s">
        <v>6953</v>
      </c>
      <c r="B123" s="1159">
        <v>975613</v>
      </c>
      <c r="C123" s="1159">
        <v>975613</v>
      </c>
      <c r="D123" s="1005">
        <v>0</v>
      </c>
    </row>
    <row r="124" spans="1:4" x14ac:dyDescent="0.35">
      <c r="A124" s="995" t="s">
        <v>10367</v>
      </c>
      <c r="B124" s="1159">
        <v>1329980</v>
      </c>
      <c r="C124" s="1159">
        <v>1329980</v>
      </c>
      <c r="D124" s="1005">
        <v>0</v>
      </c>
    </row>
    <row r="125" spans="1:4" x14ac:dyDescent="0.35">
      <c r="A125" s="995" t="s">
        <v>3945</v>
      </c>
      <c r="B125" s="1159">
        <v>514945</v>
      </c>
      <c r="C125" s="1159">
        <v>514945</v>
      </c>
      <c r="D125" s="1005">
        <v>0</v>
      </c>
    </row>
    <row r="126" spans="1:4" x14ac:dyDescent="0.35">
      <c r="A126" s="995" t="s">
        <v>11054</v>
      </c>
      <c r="B126" s="1159">
        <v>900642</v>
      </c>
      <c r="C126" s="1159">
        <v>900642</v>
      </c>
      <c r="D126" s="1005">
        <v>0</v>
      </c>
    </row>
    <row r="127" spans="1:4" x14ac:dyDescent="0.35">
      <c r="A127" s="995" t="s">
        <v>7065</v>
      </c>
      <c r="B127" s="1159">
        <v>1567993</v>
      </c>
      <c r="C127" s="1159">
        <v>1567993</v>
      </c>
      <c r="D127" s="1005">
        <v>0</v>
      </c>
    </row>
    <row r="128" spans="1:4" x14ac:dyDescent="0.35">
      <c r="A128" s="995" t="s">
        <v>11249</v>
      </c>
      <c r="B128" s="1159">
        <v>34476</v>
      </c>
      <c r="C128" s="1159">
        <v>34476</v>
      </c>
      <c r="D128" s="1005">
        <v>0</v>
      </c>
    </row>
    <row r="129" spans="1:4" x14ac:dyDescent="0.35">
      <c r="A129" s="995" t="s">
        <v>12048</v>
      </c>
      <c r="B129" s="1159">
        <v>95402</v>
      </c>
      <c r="C129" s="1159">
        <v>95402</v>
      </c>
      <c r="D129" s="1005">
        <v>0</v>
      </c>
    </row>
    <row r="130" spans="1:4" x14ac:dyDescent="0.35">
      <c r="A130" s="995" t="s">
        <v>11586</v>
      </c>
      <c r="B130" s="1159">
        <v>1897732</v>
      </c>
      <c r="C130" s="1159">
        <v>1897732</v>
      </c>
      <c r="D130" s="1005">
        <v>0</v>
      </c>
    </row>
    <row r="131" spans="1:4" x14ac:dyDescent="0.35">
      <c r="A131" s="995" t="s">
        <v>2932</v>
      </c>
      <c r="B131" s="1159">
        <v>6628809</v>
      </c>
      <c r="C131" s="1159">
        <v>6628809</v>
      </c>
      <c r="D131" s="1005">
        <v>0</v>
      </c>
    </row>
    <row r="132" spans="1:4" x14ac:dyDescent="0.35">
      <c r="A132" s="995" t="s">
        <v>11864</v>
      </c>
      <c r="B132" s="1159">
        <v>19281345</v>
      </c>
      <c r="C132" s="1159">
        <v>19281345</v>
      </c>
      <c r="D132" s="1005">
        <v>0</v>
      </c>
    </row>
    <row r="133" spans="1:4" x14ac:dyDescent="0.35">
      <c r="A133" s="995" t="s">
        <v>7655</v>
      </c>
      <c r="B133" s="1159">
        <v>1303060</v>
      </c>
      <c r="C133" s="1159">
        <v>1303060</v>
      </c>
      <c r="D133" s="1005">
        <v>0</v>
      </c>
    </row>
    <row r="134" spans="1:4" x14ac:dyDescent="0.35">
      <c r="A134" s="995" t="s">
        <v>12211</v>
      </c>
      <c r="B134" s="1159">
        <v>110000</v>
      </c>
      <c r="C134" s="1159">
        <v>110000</v>
      </c>
      <c r="D134" s="1005">
        <v>0</v>
      </c>
    </row>
    <row r="135" spans="1:4" x14ac:dyDescent="0.35">
      <c r="A135" s="995" t="s">
        <v>2648</v>
      </c>
      <c r="B135" s="1159">
        <v>202856</v>
      </c>
      <c r="C135" s="1159">
        <v>202856</v>
      </c>
      <c r="D135" s="1005">
        <v>0</v>
      </c>
    </row>
    <row r="136" spans="1:4" x14ac:dyDescent="0.35">
      <c r="A136" s="995" t="s">
        <v>171</v>
      </c>
      <c r="B136" s="1159">
        <v>46541</v>
      </c>
      <c r="C136" s="1159">
        <v>46541</v>
      </c>
      <c r="D136" s="1005">
        <v>0</v>
      </c>
    </row>
    <row r="137" spans="1:4" x14ac:dyDescent="0.35">
      <c r="A137" s="995" t="s">
        <v>7110</v>
      </c>
      <c r="B137" s="1159">
        <v>565282</v>
      </c>
      <c r="C137" s="1159">
        <v>565282</v>
      </c>
      <c r="D137" s="1005">
        <v>0</v>
      </c>
    </row>
    <row r="138" spans="1:4" x14ac:dyDescent="0.35">
      <c r="A138" s="995" t="s">
        <v>1399</v>
      </c>
      <c r="B138" s="1159">
        <v>26199453</v>
      </c>
      <c r="C138" s="1159">
        <v>26199453</v>
      </c>
      <c r="D138" s="1005">
        <v>0</v>
      </c>
    </row>
    <row r="139" spans="1:4" x14ac:dyDescent="0.35">
      <c r="A139" s="995" t="s">
        <v>3732</v>
      </c>
      <c r="B139" s="1159">
        <v>633124</v>
      </c>
      <c r="C139" s="1159">
        <v>633124</v>
      </c>
      <c r="D139" s="1005">
        <v>0</v>
      </c>
    </row>
    <row r="140" spans="1:4" x14ac:dyDescent="0.35">
      <c r="A140" s="995" t="s">
        <v>2093</v>
      </c>
      <c r="B140" s="1159">
        <v>148869</v>
      </c>
      <c r="C140" s="1159">
        <v>148869</v>
      </c>
      <c r="D140" s="1005">
        <v>0</v>
      </c>
    </row>
    <row r="141" spans="1:4" x14ac:dyDescent="0.35">
      <c r="A141" s="995" t="s">
        <v>6516</v>
      </c>
      <c r="B141" s="1159">
        <v>1058091</v>
      </c>
      <c r="C141" s="1159">
        <v>1058091</v>
      </c>
      <c r="D141" s="1005">
        <v>0</v>
      </c>
    </row>
    <row r="142" spans="1:4" x14ac:dyDescent="0.35">
      <c r="A142" s="995" t="s">
        <v>129</v>
      </c>
      <c r="B142" s="1159">
        <v>276956</v>
      </c>
      <c r="C142" s="1159">
        <v>276956</v>
      </c>
      <c r="D142" s="1005">
        <v>0</v>
      </c>
    </row>
    <row r="143" spans="1:4" x14ac:dyDescent="0.35">
      <c r="A143" s="995" t="s">
        <v>13453</v>
      </c>
      <c r="B143" s="1159">
        <v>260520</v>
      </c>
      <c r="C143" s="1159">
        <v>260520</v>
      </c>
      <c r="D143" s="1005">
        <v>0</v>
      </c>
    </row>
    <row r="144" spans="1:4" x14ac:dyDescent="0.35">
      <c r="A144" s="1092" t="s">
        <v>8384</v>
      </c>
      <c r="B144" s="1159">
        <v>260520</v>
      </c>
      <c r="C144" s="1159">
        <v>260520</v>
      </c>
      <c r="D144" s="1005">
        <v>0</v>
      </c>
    </row>
    <row r="145" spans="1:4" x14ac:dyDescent="0.35">
      <c r="A145" s="995" t="s">
        <v>768</v>
      </c>
      <c r="B145" s="1159">
        <v>190145</v>
      </c>
      <c r="C145" s="1159">
        <v>190145</v>
      </c>
      <c r="D145" s="1005">
        <v>0</v>
      </c>
    </row>
    <row r="146" spans="1:4" x14ac:dyDescent="0.35">
      <c r="A146" s="995" t="s">
        <v>14</v>
      </c>
      <c r="B146" s="1159">
        <v>53258</v>
      </c>
      <c r="C146" s="1159">
        <v>53258</v>
      </c>
      <c r="D146" s="1005">
        <v>0</v>
      </c>
    </row>
    <row r="147" spans="1:4" x14ac:dyDescent="0.35">
      <c r="A147" s="995" t="s">
        <v>7124</v>
      </c>
      <c r="B147" s="1159"/>
      <c r="C147" s="1159"/>
      <c r="D147" s="1005">
        <v>0</v>
      </c>
    </row>
    <row r="148" spans="1:4" x14ac:dyDescent="0.35">
      <c r="A148" s="995" t="s">
        <v>13279</v>
      </c>
      <c r="B148" s="1159">
        <v>168000</v>
      </c>
      <c r="C148" s="1159">
        <v>168000</v>
      </c>
      <c r="D148" s="1005">
        <v>0</v>
      </c>
    </row>
    <row r="149" spans="1:4" x14ac:dyDescent="0.35">
      <c r="A149" s="995" t="s">
        <v>38</v>
      </c>
      <c r="B149" s="1159">
        <v>110704</v>
      </c>
      <c r="C149" s="1159">
        <v>110704</v>
      </c>
      <c r="D149" s="1005">
        <v>0</v>
      </c>
    </row>
    <row r="150" spans="1:4" x14ac:dyDescent="0.35">
      <c r="A150" s="995" t="s">
        <v>75</v>
      </c>
      <c r="B150" s="1159">
        <v>13918</v>
      </c>
      <c r="C150" s="1159">
        <v>13918</v>
      </c>
      <c r="D150" s="1005">
        <v>0</v>
      </c>
    </row>
    <row r="151" spans="1:4" x14ac:dyDescent="0.35">
      <c r="A151" s="995" t="s">
        <v>1202</v>
      </c>
      <c r="B151" s="1159">
        <v>59350</v>
      </c>
      <c r="C151" s="1159">
        <v>59350</v>
      </c>
      <c r="D151" s="1005">
        <v>0</v>
      </c>
    </row>
    <row r="152" spans="1:4" x14ac:dyDescent="0.35">
      <c r="A152" s="995" t="s">
        <v>13935</v>
      </c>
      <c r="B152" s="1159">
        <v>9340</v>
      </c>
      <c r="C152" s="1159">
        <v>9340</v>
      </c>
      <c r="D152" s="1005">
        <v>0</v>
      </c>
    </row>
    <row r="153" spans="1:4" x14ac:dyDescent="0.35">
      <c r="A153" s="1092" t="s">
        <v>8384</v>
      </c>
      <c r="B153" s="1159">
        <v>9340</v>
      </c>
      <c r="C153" s="1159">
        <v>9340</v>
      </c>
      <c r="D153" s="1005">
        <v>0</v>
      </c>
    </row>
    <row r="154" spans="1:4" x14ac:dyDescent="0.35">
      <c r="A154" s="995" t="s">
        <v>1214</v>
      </c>
      <c r="B154" s="1159">
        <v>258956</v>
      </c>
      <c r="C154" s="1159">
        <v>258956</v>
      </c>
      <c r="D154" s="1005">
        <v>0</v>
      </c>
    </row>
    <row r="155" spans="1:4" x14ac:dyDescent="0.35">
      <c r="A155" s="995" t="s">
        <v>13297</v>
      </c>
      <c r="B155" s="1159">
        <v>194222</v>
      </c>
      <c r="C155" s="1159">
        <v>194222</v>
      </c>
      <c r="D155" s="1005">
        <v>0</v>
      </c>
    </row>
    <row r="156" spans="1:4" x14ac:dyDescent="0.35">
      <c r="A156" s="1092" t="s">
        <v>13116</v>
      </c>
      <c r="B156" s="1159">
        <v>7000</v>
      </c>
      <c r="C156" s="1159">
        <v>7000</v>
      </c>
      <c r="D156" s="1005">
        <v>0</v>
      </c>
    </row>
    <row r="157" spans="1:4" x14ac:dyDescent="0.35">
      <c r="A157" s="1092" t="s">
        <v>10472</v>
      </c>
      <c r="B157" s="1159">
        <v>187222</v>
      </c>
      <c r="C157" s="1159">
        <v>187222</v>
      </c>
      <c r="D157" s="1005">
        <v>0</v>
      </c>
    </row>
    <row r="158" spans="1:4" x14ac:dyDescent="0.35">
      <c r="A158" s="995" t="s">
        <v>160</v>
      </c>
      <c r="B158" s="1159">
        <v>7375</v>
      </c>
      <c r="C158" s="1159">
        <v>7375</v>
      </c>
      <c r="D158" s="1005">
        <v>0</v>
      </c>
    </row>
    <row r="159" spans="1:4" x14ac:dyDescent="0.35">
      <c r="A159" s="995" t="s">
        <v>2088</v>
      </c>
      <c r="B159" s="1159">
        <v>64441</v>
      </c>
      <c r="C159" s="1159">
        <v>64441</v>
      </c>
      <c r="D159" s="1005">
        <v>0</v>
      </c>
    </row>
    <row r="160" spans="1:4" x14ac:dyDescent="0.35">
      <c r="A160" s="995" t="s">
        <v>7914</v>
      </c>
      <c r="B160" s="1159">
        <v>3715694</v>
      </c>
      <c r="C160" s="1159">
        <v>3715694</v>
      </c>
      <c r="D160" s="1005">
        <v>0</v>
      </c>
    </row>
    <row r="161" spans="1:4" x14ac:dyDescent="0.35">
      <c r="A161" s="995" t="s">
        <v>14329</v>
      </c>
      <c r="B161" s="1159">
        <v>5871</v>
      </c>
      <c r="C161" s="1159">
        <v>5871</v>
      </c>
      <c r="D161" s="1005">
        <v>0</v>
      </c>
    </row>
    <row r="162" spans="1:4" x14ac:dyDescent="0.35">
      <c r="A162" s="1092" t="s">
        <v>166</v>
      </c>
      <c r="B162" s="1159">
        <v>5871</v>
      </c>
      <c r="C162" s="1159">
        <v>5871</v>
      </c>
      <c r="D162" s="1098">
        <v>0</v>
      </c>
    </row>
    <row r="163" spans="1:4" x14ac:dyDescent="0.35">
      <c r="A163" s="995" t="s">
        <v>3944</v>
      </c>
      <c r="B163" s="1159">
        <v>5200</v>
      </c>
      <c r="C163" s="1159">
        <v>5200</v>
      </c>
      <c r="D163" s="1005">
        <v>0</v>
      </c>
    </row>
    <row r="164" spans="1:4" x14ac:dyDescent="0.35">
      <c r="A164" s="995" t="s">
        <v>7946</v>
      </c>
      <c r="B164" s="1159">
        <v>241139</v>
      </c>
      <c r="C164" s="1159">
        <v>241139</v>
      </c>
      <c r="D164" s="1005">
        <v>0</v>
      </c>
    </row>
    <row r="165" spans="1:4" x14ac:dyDescent="0.35">
      <c r="A165" s="995" t="s">
        <v>6645</v>
      </c>
      <c r="B165" s="1159"/>
      <c r="C165" s="1159"/>
      <c r="D165" s="1005">
        <v>0</v>
      </c>
    </row>
    <row r="166" spans="1:4" x14ac:dyDescent="0.35">
      <c r="A166" s="995" t="s">
        <v>1398</v>
      </c>
      <c r="B166" s="1159">
        <v>54635</v>
      </c>
      <c r="C166" s="1159">
        <v>54635</v>
      </c>
      <c r="D166" s="1005">
        <v>0</v>
      </c>
    </row>
    <row r="167" spans="1:4" x14ac:dyDescent="0.35">
      <c r="A167" s="995" t="s">
        <v>7728</v>
      </c>
      <c r="B167" s="1159">
        <v>221361</v>
      </c>
      <c r="C167" s="1159">
        <v>221361</v>
      </c>
      <c r="D167" s="1005">
        <v>0</v>
      </c>
    </row>
    <row r="168" spans="1:4" x14ac:dyDescent="0.35">
      <c r="A168" s="995" t="s">
        <v>130</v>
      </c>
      <c r="B168" s="1159">
        <v>624947</v>
      </c>
      <c r="C168" s="1159">
        <v>624947</v>
      </c>
      <c r="D168" s="1005">
        <v>0</v>
      </c>
    </row>
    <row r="169" spans="1:4" x14ac:dyDescent="0.35">
      <c r="A169" s="995" t="s">
        <v>7741</v>
      </c>
      <c r="B169" s="1159">
        <v>319499</v>
      </c>
      <c r="C169" s="1159">
        <v>319499</v>
      </c>
      <c r="D169" s="1005">
        <v>0</v>
      </c>
    </row>
    <row r="170" spans="1:4" x14ac:dyDescent="0.35">
      <c r="A170" s="995" t="s">
        <v>44</v>
      </c>
      <c r="B170" s="1159">
        <v>10000</v>
      </c>
      <c r="C170" s="1159">
        <v>10000</v>
      </c>
      <c r="D170" s="1005">
        <v>0</v>
      </c>
    </row>
    <row r="171" spans="1:4" x14ac:dyDescent="0.35">
      <c r="A171" s="995" t="s">
        <v>7810</v>
      </c>
      <c r="B171" s="1159">
        <v>136445</v>
      </c>
      <c r="C171" s="1159">
        <v>136445</v>
      </c>
      <c r="D171" s="1005">
        <v>0</v>
      </c>
    </row>
    <row r="172" spans="1:4" x14ac:dyDescent="0.35">
      <c r="A172" s="995" t="s">
        <v>37</v>
      </c>
      <c r="B172" s="1159">
        <v>74360</v>
      </c>
      <c r="C172" s="1159">
        <v>74360</v>
      </c>
      <c r="D172" s="1005">
        <v>0</v>
      </c>
    </row>
    <row r="173" spans="1:4" x14ac:dyDescent="0.35">
      <c r="A173" s="995" t="s">
        <v>7553</v>
      </c>
      <c r="B173" s="1159">
        <v>1012779</v>
      </c>
      <c r="C173" s="1159">
        <v>1012779</v>
      </c>
      <c r="D173" s="1005">
        <v>0</v>
      </c>
    </row>
    <row r="174" spans="1:4" x14ac:dyDescent="0.35">
      <c r="A174" s="995" t="s">
        <v>10890</v>
      </c>
      <c r="B174" s="1159">
        <v>14713197.5</v>
      </c>
      <c r="C174" s="1159">
        <v>14985375.5</v>
      </c>
      <c r="D174" s="1005">
        <v>-272178</v>
      </c>
    </row>
    <row r="175" spans="1:4" ht="24" thickBot="1" x14ac:dyDescent="0.4">
      <c r="A175" s="995" t="s">
        <v>12388</v>
      </c>
      <c r="B175" s="1159">
        <v>6544678</v>
      </c>
      <c r="C175" s="1159">
        <v>6869383</v>
      </c>
      <c r="D175" s="1005">
        <v>-324705</v>
      </c>
    </row>
    <row r="176" spans="1:4" ht="24" thickBot="1" x14ac:dyDescent="0.4">
      <c r="A176" s="1007" t="s">
        <v>45</v>
      </c>
      <c r="B176" s="1008">
        <v>317702436.5</v>
      </c>
      <c r="C176" s="1009">
        <v>298858466.5</v>
      </c>
      <c r="D176" s="1010">
        <v>18843970</v>
      </c>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95" t="s">
        <v>13367</v>
      </c>
      <c r="B4" s="1296"/>
      <c r="C4" s="1297"/>
      <c r="E4" s="1295" t="s">
        <v>10302</v>
      </c>
      <c r="F4" s="1296"/>
      <c r="G4" s="1297"/>
      <c r="I4" s="1295" t="s">
        <v>8015</v>
      </c>
      <c r="J4" s="1296"/>
      <c r="K4" s="1297"/>
      <c r="M4" s="1295" t="s">
        <v>7086</v>
      </c>
      <c r="N4" s="1296"/>
      <c r="O4" s="1297"/>
      <c r="Q4" s="1295" t="s">
        <v>6016</v>
      </c>
      <c r="R4" s="1296"/>
      <c r="S4" s="1297"/>
      <c r="U4" s="1295" t="s">
        <v>5068</v>
      </c>
      <c r="V4" s="1296"/>
      <c r="W4" s="1297"/>
      <c r="Y4" s="1295" t="s">
        <v>3662</v>
      </c>
      <c r="Z4" s="1296"/>
      <c r="AA4" s="1297"/>
      <c r="AC4" s="1295" t="s">
        <v>2639</v>
      </c>
      <c r="AD4" s="1296"/>
      <c r="AE4" s="1297"/>
      <c r="AG4" s="1309" t="s">
        <v>6018</v>
      </c>
      <c r="AH4" s="1310"/>
      <c r="AI4" s="1311"/>
      <c r="AK4" s="1326" t="s">
        <v>1084</v>
      </c>
      <c r="AL4" s="1327"/>
      <c r="AM4" s="1328"/>
    </row>
    <row r="5" spans="1:46" ht="21" customHeight="1" x14ac:dyDescent="0.25">
      <c r="A5" s="1298"/>
      <c r="B5" s="1299"/>
      <c r="C5" s="1300"/>
      <c r="E5" s="1298"/>
      <c r="F5" s="1299"/>
      <c r="G5" s="1300"/>
      <c r="I5" s="1298"/>
      <c r="J5" s="1299"/>
      <c r="K5" s="1300"/>
      <c r="M5" s="1298"/>
      <c r="N5" s="1299"/>
      <c r="O5" s="1300"/>
      <c r="Q5" s="1298"/>
      <c r="R5" s="1299"/>
      <c r="S5" s="1300"/>
      <c r="U5" s="1298"/>
      <c r="V5" s="1299"/>
      <c r="W5" s="1300"/>
      <c r="Y5" s="1298"/>
      <c r="Z5" s="1299"/>
      <c r="AA5" s="1300"/>
      <c r="AC5" s="1298"/>
      <c r="AD5" s="1299"/>
      <c r="AE5" s="1300"/>
      <c r="AF5" s="3"/>
      <c r="AG5" s="1312"/>
      <c r="AH5" s="1313"/>
      <c r="AI5" s="1314"/>
      <c r="AK5" s="1326"/>
      <c r="AL5" s="1327"/>
      <c r="AM5" s="132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SUM(Posting!E22972:E93127)</f>
        <v>13433203.758064516</v>
      </c>
      <c r="C14" s="275">
        <f>SUM(Posting!F22972:F93127)</f>
        <v>5523874</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228641873.22451612</v>
      </c>
      <c r="C19" s="278">
        <f>SUM(C7:C18)</f>
        <v>225066680.93799999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-3575192.28651613</v>
      </c>
      <c r="G21" s="698">
        <f>G19-F19</f>
        <v>75935584.385159969</v>
      </c>
      <c r="K21" s="698">
        <f>K19-J19</f>
        <v>46800541.815737337</v>
      </c>
      <c r="O21" s="698">
        <f>O19-N19</f>
        <v>15703108.030833334</v>
      </c>
      <c r="S21" s="3">
        <f>S19-R19</f>
        <v>12408423.384024575</v>
      </c>
      <c r="AD21" s="3"/>
    </row>
    <row r="22" spans="1:41" ht="15.75" x14ac:dyDescent="0.25">
      <c r="A22" s="1301"/>
      <c r="B22" s="1301"/>
      <c r="C22" s="1"/>
      <c r="E22" s="1301"/>
      <c r="F22" s="1301"/>
      <c r="G22" s="1"/>
      <c r="K22" s="698"/>
      <c r="M22" s="1301" t="s">
        <v>7703</v>
      </c>
      <c r="N22" s="1301"/>
      <c r="O22" s="1">
        <v>2831635</v>
      </c>
      <c r="U22" s="3">
        <f>S19-R19</f>
        <v>12408423.384024575</v>
      </c>
      <c r="Y22" s="3"/>
      <c r="Z22" s="3"/>
      <c r="AC22" s="3"/>
      <c r="AG22" s="3"/>
      <c r="AK22" s="3"/>
    </row>
    <row r="23" spans="1:41" ht="15.75" customHeight="1" x14ac:dyDescent="0.3">
      <c r="A23" s="1302" t="s">
        <v>11384</v>
      </c>
      <c r="B23" s="1302"/>
      <c r="C23" s="1302"/>
      <c r="E23" s="1302" t="s">
        <v>11384</v>
      </c>
      <c r="F23" s="1302"/>
      <c r="G23" s="1302"/>
      <c r="I23" s="1302" t="s">
        <v>11384</v>
      </c>
      <c r="J23" s="1302"/>
      <c r="K23" s="1302"/>
      <c r="M23" s="1301" t="s">
        <v>7704</v>
      </c>
      <c r="N23" s="130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01" t="s">
        <v>8171</v>
      </c>
      <c r="N24" s="1301"/>
      <c r="O24" s="1">
        <v>2434251</v>
      </c>
    </row>
    <row r="25" spans="1:41" ht="18.75" x14ac:dyDescent="0.25">
      <c r="A25" s="2" t="s">
        <v>11386</v>
      </c>
      <c r="B25" s="1018">
        <f ca="1">Profit!P5</f>
        <v>12917227.629032258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2307891.935483871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213416753.66</v>
      </c>
      <c r="C28" s="278">
        <f ca="1">C19-C25-C26</f>
        <v>200789645.93799999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-12627107.722000003</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17" t="s">
        <v>2640</v>
      </c>
      <c r="AK38" s="1318"/>
      <c r="AL38" s="1318"/>
      <c r="AM38" s="1318"/>
      <c r="AN38" s="1318"/>
      <c r="AO38" s="1318"/>
      <c r="AP38" s="1318"/>
      <c r="AQ38" s="1318"/>
      <c r="AR38" s="1318"/>
      <c r="AS38" s="1318"/>
      <c r="AT38" s="1319"/>
    </row>
    <row r="39" spans="2:46" ht="15" customHeight="1" x14ac:dyDescent="0.25">
      <c r="AJ39" s="1320"/>
      <c r="AK39" s="1321"/>
      <c r="AL39" s="1321"/>
      <c r="AM39" s="1321"/>
      <c r="AN39" s="1321"/>
      <c r="AO39" s="1321"/>
      <c r="AP39" s="1321"/>
      <c r="AQ39" s="1321"/>
      <c r="AR39" s="1321"/>
      <c r="AS39" s="1321"/>
      <c r="AT39" s="1322"/>
    </row>
    <row r="40" spans="2:46" ht="15.75" thickBot="1" x14ac:dyDescent="0.3">
      <c r="AJ40" s="1323"/>
      <c r="AK40" s="1324"/>
      <c r="AL40" s="1324"/>
      <c r="AM40" s="1324"/>
      <c r="AN40" s="1324"/>
      <c r="AO40" s="1324"/>
      <c r="AP40" s="1324"/>
      <c r="AQ40" s="1324"/>
      <c r="AR40" s="1324"/>
      <c r="AS40" s="1324"/>
      <c r="AT40" s="1325"/>
    </row>
    <row r="41" spans="2:46" ht="14.45" customHeight="1" x14ac:dyDescent="0.25">
      <c r="AR41" s="1315" t="s">
        <v>2639</v>
      </c>
      <c r="AS41" s="1315"/>
      <c r="AT41" s="1315"/>
    </row>
    <row r="42" spans="2:46" ht="26.25" customHeight="1" x14ac:dyDescent="0.25">
      <c r="AR42" s="1316"/>
      <c r="AS42" s="1316"/>
      <c r="AT42" s="131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03" t="s">
        <v>1200</v>
      </c>
      <c r="AK58" s="1304"/>
      <c r="AL58" s="1305"/>
    </row>
    <row r="59" spans="36:46" ht="15" hidden="1" customHeight="1" x14ac:dyDescent="0.25">
      <c r="AJ59" s="1306"/>
      <c r="AK59" s="1307"/>
      <c r="AL59" s="1308"/>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50" workbookViewId="0">
      <selection activeCell="G165" sqref="G16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1" t="s">
        <v>1766</v>
      </c>
      <c r="B1" s="1351"/>
      <c r="C1" s="1351"/>
      <c r="D1" s="1351"/>
      <c r="E1" s="1351"/>
      <c r="F1" s="1351"/>
      <c r="G1" s="1351"/>
      <c r="H1" s="1351"/>
      <c r="I1" s="1351"/>
      <c r="J1" s="1351"/>
      <c r="K1" s="1351"/>
      <c r="L1" s="1351"/>
      <c r="M1" s="1351"/>
      <c r="N1" s="1351"/>
    </row>
    <row r="2" spans="1:14" ht="14.45" customHeight="1" x14ac:dyDescent="0.25">
      <c r="A2" s="1351"/>
      <c r="B2" s="1351"/>
      <c r="C2" s="1351"/>
      <c r="D2" s="1351"/>
      <c r="E2" s="1351"/>
      <c r="F2" s="1351"/>
      <c r="G2" s="1351"/>
      <c r="H2" s="1351"/>
      <c r="I2" s="1351"/>
      <c r="J2" s="1351"/>
      <c r="K2" s="1351"/>
      <c r="L2" s="1351"/>
      <c r="M2" s="1351"/>
      <c r="N2" s="1351"/>
    </row>
    <row r="3" spans="1:14" ht="14.45" customHeight="1" x14ac:dyDescent="0.25">
      <c r="A3" s="1352" t="s">
        <v>4712</v>
      </c>
      <c r="B3" s="1352"/>
      <c r="C3" s="1352"/>
      <c r="D3" s="1352"/>
      <c r="E3" s="1352"/>
      <c r="F3" s="1352"/>
      <c r="G3" s="1352"/>
      <c r="H3" s="1352"/>
      <c r="I3" s="1352"/>
      <c r="J3" s="1352"/>
      <c r="K3" s="1352"/>
      <c r="L3" s="1352"/>
      <c r="M3" s="1352"/>
      <c r="N3" s="1352"/>
    </row>
    <row r="4" spans="1:14" ht="14.45" customHeight="1" x14ac:dyDescent="0.25">
      <c r="A4" s="1352"/>
      <c r="B4" s="1352"/>
      <c r="C4" s="1352"/>
      <c r="D4" s="1352"/>
      <c r="E4" s="1352"/>
      <c r="F4" s="1352"/>
      <c r="G4" s="1352"/>
      <c r="H4" s="1352"/>
      <c r="I4" s="1352"/>
      <c r="J4" s="1352"/>
      <c r="K4" s="1352"/>
      <c r="L4" s="1352"/>
      <c r="M4" s="1352"/>
      <c r="N4" s="1352"/>
    </row>
    <row r="6" spans="1:14" x14ac:dyDescent="0.25">
      <c r="A6" s="1338" t="s">
        <v>5989</v>
      </c>
      <c r="B6" s="1338"/>
      <c r="C6" s="1338"/>
      <c r="D6" s="1338"/>
      <c r="E6" s="1338"/>
      <c r="F6" s="1338"/>
      <c r="G6" s="1338"/>
      <c r="H6" s="1338"/>
      <c r="I6" s="1338"/>
      <c r="J6" s="1338"/>
      <c r="K6" s="1338"/>
      <c r="L6" s="1338"/>
      <c r="M6" s="1338"/>
      <c r="N6" s="1338"/>
    </row>
    <row r="7" spans="1:14" x14ac:dyDescent="0.25">
      <c r="A7" s="1338"/>
      <c r="B7" s="1338"/>
      <c r="C7" s="1338"/>
      <c r="D7" s="1338"/>
      <c r="E7" s="1338"/>
      <c r="F7" s="1338"/>
      <c r="G7" s="1338"/>
      <c r="H7" s="1338"/>
      <c r="I7" s="1338"/>
      <c r="J7" s="1338"/>
      <c r="K7" s="1338"/>
      <c r="L7" s="1338"/>
      <c r="M7" s="1338"/>
      <c r="N7" s="1338"/>
    </row>
    <row r="8" spans="1:14" x14ac:dyDescent="0.25">
      <c r="A8" s="1339" t="s">
        <v>6020</v>
      </c>
      <c r="B8" s="1339"/>
      <c r="C8" s="1339"/>
      <c r="D8" s="1339"/>
      <c r="E8" s="1339"/>
      <c r="F8" s="1339"/>
      <c r="G8" s="1339"/>
      <c r="H8" s="1339"/>
      <c r="I8" s="1339"/>
      <c r="J8" s="1339"/>
      <c r="K8" s="1339"/>
      <c r="L8" s="1339"/>
      <c r="M8" s="1339"/>
      <c r="N8" s="1339"/>
    </row>
    <row r="9" spans="1:14" x14ac:dyDescent="0.25">
      <c r="A9" s="1339"/>
      <c r="B9" s="1339"/>
      <c r="C9" s="1339"/>
      <c r="D9" s="1339"/>
      <c r="E9" s="1339"/>
      <c r="F9" s="1339"/>
      <c r="G9" s="1339"/>
      <c r="H9" s="1339"/>
      <c r="I9" s="1339"/>
      <c r="J9" s="1339"/>
      <c r="K9" s="1339"/>
      <c r="L9" s="1339"/>
      <c r="M9" s="1339"/>
      <c r="N9" s="1339"/>
    </row>
    <row r="10" spans="1:14" ht="14.45" customHeight="1" x14ac:dyDescent="0.25">
      <c r="A10" s="1340" t="s">
        <v>1893</v>
      </c>
      <c r="B10" s="1341"/>
      <c r="C10" s="1341"/>
      <c r="D10" s="1342"/>
      <c r="E10" s="462"/>
      <c r="F10" s="1349" t="s">
        <v>4750</v>
      </c>
      <c r="G10" s="1349"/>
      <c r="H10" s="1349"/>
      <c r="I10" s="1349"/>
      <c r="K10" s="1350" t="s">
        <v>1201</v>
      </c>
      <c r="L10" s="1350"/>
      <c r="M10" s="1350"/>
      <c r="N10" s="1350"/>
    </row>
    <row r="11" spans="1:14" ht="14.45" customHeight="1" x14ac:dyDescent="0.25">
      <c r="A11" s="1343"/>
      <c r="B11" s="1344"/>
      <c r="C11" s="1344"/>
      <c r="D11" s="1345"/>
      <c r="E11" s="463"/>
      <c r="F11" s="1349"/>
      <c r="G11" s="1349"/>
      <c r="H11" s="1349"/>
      <c r="I11" s="1349"/>
      <c r="K11" s="1350"/>
      <c r="L11" s="1350"/>
      <c r="M11" s="1350"/>
      <c r="N11" s="1350"/>
    </row>
    <row r="12" spans="1:14" ht="14.45" customHeight="1" x14ac:dyDescent="0.25">
      <c r="A12" s="1346"/>
      <c r="B12" s="1347"/>
      <c r="C12" s="1347"/>
      <c r="D12" s="1348"/>
      <c r="E12" s="464"/>
      <c r="F12" s="1349"/>
      <c r="G12" s="1349"/>
      <c r="H12" s="1349"/>
      <c r="I12" s="1349"/>
      <c r="K12" s="1350"/>
      <c r="L12" s="1350"/>
      <c r="M12" s="1350"/>
      <c r="N12" s="1350"/>
    </row>
    <row r="13" spans="1:14" ht="27" thickBot="1" x14ac:dyDescent="0.3">
      <c r="A13" s="1329" t="s">
        <v>4589</v>
      </c>
      <c r="B13" s="1330"/>
      <c r="C13" s="1330"/>
      <c r="D13" s="1331"/>
      <c r="E13" s="465"/>
      <c r="F13" s="1332" t="s">
        <v>4589</v>
      </c>
      <c r="G13" s="1333"/>
      <c r="H13" s="1333"/>
      <c r="I13" s="1334"/>
      <c r="K13" s="1332" t="s">
        <v>4589</v>
      </c>
      <c r="L13" s="1333"/>
      <c r="M13" s="1333"/>
      <c r="N13" s="133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5" t="s">
        <v>4595</v>
      </c>
      <c r="B39" s="1335"/>
      <c r="C39" s="1335"/>
      <c r="D39" s="204">
        <f>SUM(D15:D38)</f>
        <v>6567291</v>
      </c>
      <c r="E39" s="471"/>
      <c r="F39" s="1336" t="s">
        <v>4595</v>
      </c>
      <c r="G39" s="1336"/>
      <c r="H39" s="1337"/>
      <c r="I39" s="428">
        <f>SUM(I15:I38)</f>
        <v>6374135</v>
      </c>
      <c r="K39" s="1336" t="s">
        <v>4595</v>
      </c>
      <c r="L39" s="1336"/>
      <c r="M39" s="1337"/>
      <c r="N39" s="428">
        <f>SUM(N15:N38)</f>
        <v>6374135</v>
      </c>
    </row>
    <row r="40" spans="1:14" x14ac:dyDescent="0.25">
      <c r="D40" s="49"/>
      <c r="E40" s="471"/>
      <c r="I40" s="49"/>
    </row>
    <row r="41" spans="1:14" x14ac:dyDescent="0.25">
      <c r="D41" s="49"/>
      <c r="E41" s="471"/>
      <c r="I41" s="49"/>
    </row>
    <row r="42" spans="1:14" x14ac:dyDescent="0.25">
      <c r="A42" s="1338" t="s">
        <v>6136</v>
      </c>
      <c r="B42" s="1338"/>
      <c r="C42" s="1338"/>
      <c r="D42" s="1338"/>
      <c r="E42" s="1338"/>
      <c r="F42" s="1338"/>
      <c r="G42" s="1338"/>
      <c r="H42" s="1338"/>
      <c r="I42" s="1338"/>
      <c r="J42" s="1338"/>
      <c r="K42" s="1338"/>
      <c r="L42" s="1338"/>
      <c r="M42" s="1338"/>
      <c r="N42" s="1338"/>
    </row>
    <row r="43" spans="1:14" x14ac:dyDescent="0.25">
      <c r="A43" s="1338"/>
      <c r="B43" s="1338"/>
      <c r="C43" s="1338"/>
      <c r="D43" s="1338"/>
      <c r="E43" s="1338"/>
      <c r="F43" s="1338"/>
      <c r="G43" s="1338"/>
      <c r="H43" s="1338"/>
      <c r="I43" s="1338"/>
      <c r="J43" s="1338"/>
      <c r="K43" s="1338"/>
      <c r="L43" s="1338"/>
      <c r="M43" s="1338"/>
      <c r="N43" s="1338"/>
    </row>
    <row r="44" spans="1:14" x14ac:dyDescent="0.25">
      <c r="A44" s="1339" t="s">
        <v>6137</v>
      </c>
      <c r="B44" s="1339"/>
      <c r="C44" s="1339"/>
      <c r="D44" s="1339"/>
      <c r="E44" s="1339"/>
      <c r="F44" s="1339"/>
      <c r="G44" s="1339"/>
      <c r="H44" s="1339"/>
      <c r="I44" s="1339"/>
      <c r="J44" s="1339"/>
      <c r="K44" s="1339"/>
      <c r="L44" s="1339"/>
      <c r="M44" s="1339"/>
      <c r="N44" s="1339"/>
    </row>
    <row r="45" spans="1:14" x14ac:dyDescent="0.25">
      <c r="A45" s="1339"/>
      <c r="B45" s="1339"/>
      <c r="C45" s="1339"/>
      <c r="D45" s="1339"/>
      <c r="E45" s="1339"/>
      <c r="F45" s="1339"/>
      <c r="G45" s="1339"/>
      <c r="H45" s="1339"/>
      <c r="I45" s="1339"/>
      <c r="J45" s="1339"/>
      <c r="K45" s="1339"/>
      <c r="L45" s="1339"/>
      <c r="M45" s="1339"/>
      <c r="N45" s="1339"/>
    </row>
    <row r="46" spans="1:14" ht="14.45" customHeight="1" x14ac:dyDescent="0.25">
      <c r="A46" s="1340" t="s">
        <v>1893</v>
      </c>
      <c r="B46" s="1341"/>
      <c r="C46" s="1341"/>
      <c r="D46" s="1342"/>
      <c r="E46" s="462"/>
      <c r="F46" s="1349" t="s">
        <v>4750</v>
      </c>
      <c r="G46" s="1349"/>
      <c r="H46" s="1349"/>
      <c r="I46" s="1349"/>
      <c r="K46" s="1350" t="s">
        <v>1201</v>
      </c>
      <c r="L46" s="1350"/>
      <c r="M46" s="1350"/>
      <c r="N46" s="1350"/>
    </row>
    <row r="47" spans="1:14" ht="14.45" customHeight="1" x14ac:dyDescent="0.25">
      <c r="A47" s="1343"/>
      <c r="B47" s="1344"/>
      <c r="C47" s="1344"/>
      <c r="D47" s="1345"/>
      <c r="E47" s="463"/>
      <c r="F47" s="1349"/>
      <c r="G47" s="1349"/>
      <c r="H47" s="1349"/>
      <c r="I47" s="1349"/>
      <c r="K47" s="1350"/>
      <c r="L47" s="1350"/>
      <c r="M47" s="1350"/>
      <c r="N47" s="1350"/>
    </row>
    <row r="48" spans="1:14" ht="14.45" customHeight="1" x14ac:dyDescent="0.25">
      <c r="A48" s="1346"/>
      <c r="B48" s="1347"/>
      <c r="C48" s="1347"/>
      <c r="D48" s="1348"/>
      <c r="E48" s="464"/>
      <c r="F48" s="1349"/>
      <c r="G48" s="1349"/>
      <c r="H48" s="1349"/>
      <c r="I48" s="1349"/>
      <c r="K48" s="1350"/>
      <c r="L48" s="1350"/>
      <c r="M48" s="1350"/>
      <c r="N48" s="1350"/>
    </row>
    <row r="49" spans="1:14" ht="27" thickBot="1" x14ac:dyDescent="0.3">
      <c r="A49" s="1329" t="s">
        <v>4589</v>
      </c>
      <c r="B49" s="1330"/>
      <c r="C49" s="1330"/>
      <c r="D49" s="1331"/>
      <c r="E49" s="465"/>
      <c r="F49" s="1332" t="s">
        <v>4589</v>
      </c>
      <c r="G49" s="1333"/>
      <c r="H49" s="1333"/>
      <c r="I49" s="1334"/>
      <c r="K49" s="1332" t="s">
        <v>4589</v>
      </c>
      <c r="L49" s="1333"/>
      <c r="M49" s="1333"/>
      <c r="N49" s="133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5" t="s">
        <v>4595</v>
      </c>
      <c r="B79" s="1335"/>
      <c r="C79" s="1335"/>
      <c r="D79" s="204">
        <f>SUM(D51:D78)</f>
        <v>4135000</v>
      </c>
      <c r="E79" s="471"/>
      <c r="F79" s="1336" t="s">
        <v>4595</v>
      </c>
      <c r="G79" s="1336"/>
      <c r="H79" s="1337"/>
      <c r="I79" s="204">
        <f>SUM(I51:I78)</f>
        <v>4012280</v>
      </c>
      <c r="K79" s="1336" t="s">
        <v>4595</v>
      </c>
      <c r="L79" s="1336"/>
      <c r="M79" s="1337"/>
      <c r="N79" s="204">
        <f>SUM(N51:N78)</f>
        <v>4012280</v>
      </c>
    </row>
    <row r="82" spans="1:14" ht="27.75" customHeight="1" x14ac:dyDescent="0.25">
      <c r="A82" s="1338" t="s">
        <v>7089</v>
      </c>
      <c r="B82" s="1338"/>
      <c r="C82" s="1338"/>
      <c r="D82" s="1338"/>
      <c r="E82" s="1338"/>
      <c r="F82" s="1338"/>
      <c r="G82" s="1338"/>
      <c r="H82" s="1338"/>
      <c r="I82" s="1338"/>
      <c r="J82" s="1338"/>
      <c r="K82" s="1338"/>
      <c r="L82" s="1338"/>
      <c r="M82" s="1338"/>
      <c r="N82" s="1338"/>
    </row>
    <row r="83" spans="1:14" ht="15" customHeight="1" x14ac:dyDescent="0.25">
      <c r="A83" s="1339" t="s">
        <v>7090</v>
      </c>
      <c r="B83" s="1339"/>
      <c r="C83" s="1339"/>
      <c r="D83" s="1339"/>
      <c r="E83" s="1339"/>
      <c r="F83" s="1339"/>
      <c r="G83" s="1339"/>
      <c r="H83" s="1339"/>
      <c r="I83" s="1339"/>
      <c r="J83" s="1339"/>
      <c r="K83" s="1339"/>
      <c r="L83" s="1339"/>
      <c r="M83" s="1339"/>
      <c r="N83" s="1339"/>
    </row>
    <row r="84" spans="1:14" ht="15" customHeight="1" x14ac:dyDescent="0.25">
      <c r="A84" s="1339"/>
      <c r="B84" s="1339"/>
      <c r="C84" s="1339"/>
      <c r="D84" s="1339"/>
      <c r="E84" s="1339"/>
      <c r="F84" s="1339"/>
      <c r="G84" s="1339"/>
      <c r="H84" s="1339"/>
      <c r="I84" s="1339"/>
      <c r="J84" s="1339"/>
      <c r="K84" s="1339"/>
      <c r="L84" s="1339"/>
      <c r="M84" s="1339"/>
      <c r="N84" s="1339"/>
    </row>
    <row r="85" spans="1:14" ht="14.45" customHeight="1" x14ac:dyDescent="0.25">
      <c r="A85" s="1340" t="s">
        <v>1893</v>
      </c>
      <c r="B85" s="1341"/>
      <c r="C85" s="1341"/>
      <c r="D85" s="1342"/>
      <c r="E85" s="462"/>
      <c r="F85" s="1349" t="s">
        <v>4750</v>
      </c>
      <c r="G85" s="1349"/>
      <c r="H85" s="1349"/>
      <c r="I85" s="1349"/>
      <c r="K85" s="1350" t="s">
        <v>1201</v>
      </c>
      <c r="L85" s="1350"/>
      <c r="M85" s="1350"/>
      <c r="N85" s="1350"/>
    </row>
    <row r="86" spans="1:14" ht="14.45" customHeight="1" x14ac:dyDescent="0.25">
      <c r="A86" s="1343"/>
      <c r="B86" s="1344"/>
      <c r="C86" s="1344"/>
      <c r="D86" s="1345"/>
      <c r="E86" s="463"/>
      <c r="F86" s="1349"/>
      <c r="G86" s="1349"/>
      <c r="H86" s="1349"/>
      <c r="I86" s="1349"/>
      <c r="K86" s="1350"/>
      <c r="L86" s="1350"/>
      <c r="M86" s="1350"/>
      <c r="N86" s="1350"/>
    </row>
    <row r="87" spans="1:14" ht="14.45" customHeight="1" x14ac:dyDescent="0.25">
      <c r="A87" s="1346"/>
      <c r="B87" s="1347"/>
      <c r="C87" s="1347"/>
      <c r="D87" s="1348"/>
      <c r="E87" s="464"/>
      <c r="F87" s="1349"/>
      <c r="G87" s="1349"/>
      <c r="H87" s="1349"/>
      <c r="I87" s="1349"/>
      <c r="K87" s="1350"/>
      <c r="L87" s="1350"/>
      <c r="M87" s="1350"/>
      <c r="N87" s="1350"/>
    </row>
    <row r="88" spans="1:14" ht="27" thickBot="1" x14ac:dyDescent="0.3">
      <c r="A88" s="1329" t="s">
        <v>4589</v>
      </c>
      <c r="B88" s="1330"/>
      <c r="C88" s="1330"/>
      <c r="D88" s="1331"/>
      <c r="E88" s="465"/>
      <c r="F88" s="1332" t="s">
        <v>4589</v>
      </c>
      <c r="G88" s="1333"/>
      <c r="H88" s="1333"/>
      <c r="I88" s="1334"/>
      <c r="K88" s="1332" t="s">
        <v>4589</v>
      </c>
      <c r="L88" s="1333"/>
      <c r="M88" s="1333"/>
      <c r="N88" s="133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5" t="s">
        <v>4595</v>
      </c>
      <c r="B109" s="1335"/>
      <c r="C109" s="1335"/>
      <c r="D109" s="204">
        <f>SUM(D90:D108)</f>
        <v>4677000</v>
      </c>
      <c r="E109" s="471"/>
      <c r="F109" s="1336" t="s">
        <v>4595</v>
      </c>
      <c r="G109" s="1336"/>
      <c r="H109" s="1337"/>
      <c r="I109" s="428">
        <f>SUM(I90:I107)</f>
        <v>4531000</v>
      </c>
      <c r="K109" s="1336" t="s">
        <v>4595</v>
      </c>
      <c r="L109" s="1336"/>
      <c r="M109" s="1337"/>
      <c r="N109" s="428">
        <f>SUM(N90:N107)</f>
        <v>4531779</v>
      </c>
    </row>
    <row r="112" spans="1:14" ht="27.75" customHeight="1" x14ac:dyDescent="0.25">
      <c r="A112" s="1338" t="s">
        <v>10425</v>
      </c>
      <c r="B112" s="1338"/>
      <c r="C112" s="1338"/>
      <c r="D112" s="1338"/>
      <c r="E112" s="1338"/>
      <c r="F112" s="1338"/>
      <c r="G112" s="1338"/>
      <c r="H112" s="1338"/>
      <c r="I112" s="1338"/>
      <c r="J112" s="1338"/>
      <c r="K112" s="1338"/>
      <c r="L112" s="1338"/>
      <c r="M112" s="1338"/>
      <c r="N112" s="1338"/>
    </row>
    <row r="113" spans="1:14" ht="15" customHeight="1" x14ac:dyDescent="0.25">
      <c r="A113" s="1339" t="s">
        <v>10426</v>
      </c>
      <c r="B113" s="1339"/>
      <c r="C113" s="1339"/>
      <c r="D113" s="1339"/>
      <c r="E113" s="1339"/>
      <c r="F113" s="1339"/>
      <c r="G113" s="1339"/>
      <c r="H113" s="1339"/>
      <c r="I113" s="1339"/>
      <c r="J113" s="1339"/>
      <c r="K113" s="1339"/>
      <c r="L113" s="1339"/>
      <c r="M113" s="1339"/>
      <c r="N113" s="1339"/>
    </row>
    <row r="114" spans="1:14" ht="15" customHeight="1" x14ac:dyDescent="0.25">
      <c r="A114" s="1339"/>
      <c r="B114" s="1339"/>
      <c r="C114" s="1339"/>
      <c r="D114" s="1339"/>
      <c r="E114" s="1339"/>
      <c r="F114" s="1339"/>
      <c r="G114" s="1339"/>
      <c r="H114" s="1339"/>
      <c r="I114" s="1339"/>
      <c r="J114" s="1339"/>
      <c r="K114" s="1339"/>
      <c r="L114" s="1339"/>
      <c r="M114" s="1339"/>
      <c r="N114" s="1339"/>
    </row>
    <row r="115" spans="1:14" ht="14.45" customHeight="1" x14ac:dyDescent="0.25">
      <c r="A115" s="1340" t="s">
        <v>1893</v>
      </c>
      <c r="B115" s="1341"/>
      <c r="C115" s="1341"/>
      <c r="D115" s="1342"/>
      <c r="E115" s="462"/>
      <c r="F115" s="1349" t="s">
        <v>4750</v>
      </c>
      <c r="G115" s="1349"/>
      <c r="H115" s="1349"/>
      <c r="I115" s="1349"/>
      <c r="K115" s="1350" t="s">
        <v>1201</v>
      </c>
      <c r="L115" s="1350"/>
      <c r="M115" s="1350"/>
      <c r="N115" s="1350"/>
    </row>
    <row r="116" spans="1:14" ht="14.45" customHeight="1" x14ac:dyDescent="0.25">
      <c r="A116" s="1343"/>
      <c r="B116" s="1344"/>
      <c r="C116" s="1344"/>
      <c r="D116" s="1345"/>
      <c r="E116" s="463"/>
      <c r="F116" s="1349"/>
      <c r="G116" s="1349"/>
      <c r="H116" s="1349"/>
      <c r="I116" s="1349"/>
      <c r="K116" s="1350"/>
      <c r="L116" s="1350"/>
      <c r="M116" s="1350"/>
      <c r="N116" s="1350"/>
    </row>
    <row r="117" spans="1:14" ht="14.45" customHeight="1" x14ac:dyDescent="0.25">
      <c r="A117" s="1346"/>
      <c r="B117" s="1347"/>
      <c r="C117" s="1347"/>
      <c r="D117" s="1348"/>
      <c r="E117" s="464"/>
      <c r="F117" s="1349"/>
      <c r="G117" s="1349"/>
      <c r="H117" s="1349"/>
      <c r="I117" s="1349"/>
      <c r="K117" s="1350"/>
      <c r="L117" s="1350"/>
      <c r="M117" s="1350"/>
      <c r="N117" s="1350"/>
    </row>
    <row r="118" spans="1:14" ht="27" thickBot="1" x14ac:dyDescent="0.3">
      <c r="A118" s="1329" t="s">
        <v>4589</v>
      </c>
      <c r="B118" s="1330"/>
      <c r="C118" s="1330"/>
      <c r="D118" s="1331"/>
      <c r="E118" s="465"/>
      <c r="F118" s="1332" t="s">
        <v>4589</v>
      </c>
      <c r="G118" s="1333"/>
      <c r="H118" s="1333"/>
      <c r="I118" s="1334"/>
      <c r="K118" s="1332" t="s">
        <v>4589</v>
      </c>
      <c r="L118" s="1333"/>
      <c r="M118" s="1333"/>
      <c r="N118" s="133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5" t="s">
        <v>4595</v>
      </c>
      <c r="B139" s="1335"/>
      <c r="C139" s="1335"/>
      <c r="D139" s="204">
        <f>SUM(D120:D138)</f>
        <v>11965000</v>
      </c>
      <c r="E139" s="471"/>
      <c r="F139" s="1336" t="s">
        <v>4595</v>
      </c>
      <c r="G139" s="1336"/>
      <c r="H139" s="1337"/>
      <c r="I139" s="428">
        <f>SUM(I120:I137)</f>
        <v>11609683</v>
      </c>
      <c r="K139" s="1336" t="s">
        <v>4595</v>
      </c>
      <c r="L139" s="1336"/>
      <c r="M139" s="1337"/>
      <c r="N139" s="428">
        <f>SUM(N120:N137)</f>
        <v>11500000</v>
      </c>
    </row>
    <row r="142" spans="1:14" ht="27.75" customHeight="1" x14ac:dyDescent="0.25">
      <c r="A142" s="1338" t="s">
        <v>13516</v>
      </c>
      <c r="B142" s="1338"/>
      <c r="C142" s="1338"/>
      <c r="D142" s="1338"/>
      <c r="E142" s="1338"/>
      <c r="F142" s="1338"/>
      <c r="G142" s="1338"/>
      <c r="H142" s="1338"/>
      <c r="I142" s="1338"/>
      <c r="J142" s="1338"/>
      <c r="K142" s="1338"/>
      <c r="L142" s="1338"/>
      <c r="M142" s="1338"/>
      <c r="N142" s="1338"/>
    </row>
    <row r="143" spans="1:14" ht="15" customHeight="1" x14ac:dyDescent="0.25">
      <c r="A143" s="1339" t="s">
        <v>13517</v>
      </c>
      <c r="B143" s="1339"/>
      <c r="C143" s="1339"/>
      <c r="D143" s="1339"/>
      <c r="E143" s="1339"/>
      <c r="F143" s="1339"/>
      <c r="G143" s="1339"/>
      <c r="H143" s="1339"/>
      <c r="I143" s="1339"/>
      <c r="J143" s="1339"/>
      <c r="K143" s="1339"/>
      <c r="L143" s="1339"/>
      <c r="M143" s="1339"/>
      <c r="N143" s="1339"/>
    </row>
    <row r="144" spans="1:14" ht="15" customHeight="1" x14ac:dyDescent="0.25">
      <c r="A144" s="1339"/>
      <c r="B144" s="1339"/>
      <c r="C144" s="1339"/>
      <c r="D144" s="1339"/>
      <c r="E144" s="1339"/>
      <c r="F144" s="1339"/>
      <c r="G144" s="1339"/>
      <c r="H144" s="1339"/>
      <c r="I144" s="1339"/>
      <c r="J144" s="1339"/>
      <c r="K144" s="1339"/>
      <c r="L144" s="1339"/>
      <c r="M144" s="1339"/>
      <c r="N144" s="1339"/>
    </row>
    <row r="145" spans="1:14" ht="14.45" customHeight="1" x14ac:dyDescent="0.25">
      <c r="A145" s="1340" t="s">
        <v>1893</v>
      </c>
      <c r="B145" s="1341"/>
      <c r="C145" s="1341"/>
      <c r="D145" s="1342"/>
      <c r="E145" s="462"/>
      <c r="F145" s="1349" t="s">
        <v>4750</v>
      </c>
      <c r="G145" s="1349"/>
      <c r="H145" s="1349"/>
      <c r="I145" s="1349"/>
      <c r="K145" s="1350" t="s">
        <v>1201</v>
      </c>
      <c r="L145" s="1350"/>
      <c r="M145" s="1350"/>
      <c r="N145" s="1350"/>
    </row>
    <row r="146" spans="1:14" ht="14.45" customHeight="1" x14ac:dyDescent="0.25">
      <c r="A146" s="1343"/>
      <c r="B146" s="1344"/>
      <c r="C146" s="1344"/>
      <c r="D146" s="1345"/>
      <c r="E146" s="463"/>
      <c r="F146" s="1349"/>
      <c r="G146" s="1349"/>
      <c r="H146" s="1349"/>
      <c r="I146" s="1349"/>
      <c r="K146" s="1350"/>
      <c r="L146" s="1350"/>
      <c r="M146" s="1350"/>
      <c r="N146" s="1350"/>
    </row>
    <row r="147" spans="1:14" ht="14.45" customHeight="1" x14ac:dyDescent="0.25">
      <c r="A147" s="1346"/>
      <c r="B147" s="1347"/>
      <c r="C147" s="1347"/>
      <c r="D147" s="1348"/>
      <c r="E147" s="464"/>
      <c r="F147" s="1349"/>
      <c r="G147" s="1349"/>
      <c r="H147" s="1349"/>
      <c r="I147" s="1349"/>
      <c r="K147" s="1350"/>
      <c r="L147" s="1350"/>
      <c r="M147" s="1350"/>
      <c r="N147" s="1350"/>
    </row>
    <row r="148" spans="1:14" ht="27" thickBot="1" x14ac:dyDescent="0.3">
      <c r="A148" s="1329" t="s">
        <v>4589</v>
      </c>
      <c r="B148" s="1330"/>
      <c r="C148" s="1330"/>
      <c r="D148" s="1331"/>
      <c r="E148" s="465"/>
      <c r="F148" s="1332" t="s">
        <v>4589</v>
      </c>
      <c r="G148" s="1333"/>
      <c r="H148" s="1333"/>
      <c r="I148" s="1334"/>
      <c r="K148" s="1332" t="s">
        <v>4589</v>
      </c>
      <c r="L148" s="1333"/>
      <c r="M148" s="1333"/>
      <c r="N148" s="133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15961</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15962</v>
      </c>
      <c r="H165" s="304"/>
      <c r="I165" s="780">
        <v>1000000</v>
      </c>
      <c r="K165" s="429">
        <v>45686</v>
      </c>
      <c r="L165" s="712" t="s">
        <v>14705</v>
      </c>
      <c r="M165" s="757">
        <v>2007570437</v>
      </c>
      <c r="N165" s="119">
        <v>900000</v>
      </c>
    </row>
    <row r="166" spans="1:15" x14ac:dyDescent="0.25">
      <c r="A166" s="341"/>
      <c r="B166" s="712"/>
      <c r="C166" s="15"/>
      <c r="D166" s="15"/>
      <c r="E166" s="470"/>
      <c r="F166" s="429"/>
      <c r="G166" s="98"/>
      <c r="H166" s="304"/>
      <c r="I166" s="15"/>
      <c r="K166" s="429">
        <v>45686</v>
      </c>
      <c r="L166" s="712" t="s">
        <v>14705</v>
      </c>
      <c r="M166" s="757">
        <v>2007570438</v>
      </c>
      <c r="N166" s="119">
        <v>900000</v>
      </c>
    </row>
    <row r="167" spans="1:15" x14ac:dyDescent="0.25">
      <c r="A167" s="341"/>
      <c r="B167" s="98"/>
      <c r="C167" s="15"/>
      <c r="D167" s="15"/>
      <c r="E167" s="470"/>
      <c r="F167" s="429"/>
      <c r="G167" s="712"/>
      <c r="H167" s="430"/>
      <c r="I167" s="366"/>
      <c r="K167" s="429">
        <v>45686</v>
      </c>
      <c r="L167" s="712" t="s">
        <v>14705</v>
      </c>
      <c r="M167" s="757">
        <v>2007570439</v>
      </c>
      <c r="N167" s="119">
        <v>900000</v>
      </c>
    </row>
    <row r="168" spans="1:15" x14ac:dyDescent="0.25">
      <c r="A168" s="341"/>
      <c r="B168" s="98"/>
      <c r="C168" s="15"/>
      <c r="D168" s="15"/>
      <c r="E168" s="470"/>
      <c r="F168" s="429"/>
      <c r="G168" s="712"/>
      <c r="H168" s="430"/>
      <c r="I168" s="366"/>
      <c r="K168" s="429">
        <v>45686</v>
      </c>
      <c r="L168" s="712" t="s">
        <v>14705</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5" t="s">
        <v>4595</v>
      </c>
      <c r="B172" s="1335"/>
      <c r="C172" s="1335"/>
      <c r="D172" s="204">
        <f>SUM(D150:D171)</f>
        <v>1790000</v>
      </c>
      <c r="E172" s="471"/>
      <c r="F172" s="1336" t="s">
        <v>4595</v>
      </c>
      <c r="G172" s="1336"/>
      <c r="H172" s="1337"/>
      <c r="I172" s="428">
        <f>SUM(I150:I167)</f>
        <v>9541200</v>
      </c>
      <c r="K172" s="1336" t="s">
        <v>4595</v>
      </c>
      <c r="L172" s="1336"/>
      <c r="M172" s="1337"/>
      <c r="N172" s="428">
        <f>SUM(N150:N171)</f>
        <v>17612000</v>
      </c>
      <c r="O172" s="3"/>
    </row>
    <row r="173" spans="1:15" x14ac:dyDescent="0.25">
      <c r="I173" s="1170"/>
    </row>
  </sheetData>
  <mergeCells count="57">
    <mergeCell ref="A148:D148"/>
    <mergeCell ref="F148:I148"/>
    <mergeCell ref="K148:N148"/>
    <mergeCell ref="A172:C172"/>
    <mergeCell ref="F172:H172"/>
    <mergeCell ref="K172:M17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29" sqref="I29"/>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69" t="s">
        <v>9490</v>
      </c>
      <c r="C1" s="1370"/>
      <c r="D1" s="1370"/>
      <c r="E1" s="1371"/>
      <c r="G1" s="1369" t="s">
        <v>13770</v>
      </c>
      <c r="H1" s="1370"/>
      <c r="I1" s="1370"/>
      <c r="J1" s="1371"/>
      <c r="M1" s="1380" t="s">
        <v>11380</v>
      </c>
      <c r="N1" s="1381"/>
      <c r="O1" s="1381"/>
      <c r="P1" s="1382"/>
      <c r="R1" s="1380" t="s">
        <v>11380</v>
      </c>
      <c r="S1" s="1381"/>
      <c r="T1" s="1381"/>
      <c r="U1" s="1382"/>
      <c r="X1" s="1380" t="s">
        <v>11380</v>
      </c>
      <c r="Y1" s="1381"/>
      <c r="Z1" s="1381"/>
      <c r="AA1" s="1382"/>
      <c r="AC1" s="1377" t="s">
        <v>9490</v>
      </c>
      <c r="AD1" s="1378"/>
      <c r="AE1" s="1378"/>
      <c r="AF1" s="1379"/>
      <c r="AJ1" s="1369" t="s">
        <v>9490</v>
      </c>
      <c r="AK1" s="1370"/>
      <c r="AL1" s="1370"/>
      <c r="AM1" s="1371"/>
      <c r="AO1" s="996" t="s">
        <v>1766</v>
      </c>
    </row>
    <row r="2" spans="2:41" ht="21" x14ac:dyDescent="0.35">
      <c r="B2" s="1372" t="s">
        <v>13518</v>
      </c>
      <c r="C2" s="1373"/>
      <c r="D2" s="1373"/>
      <c r="E2" s="1374"/>
      <c r="G2" s="1372" t="s">
        <v>10389</v>
      </c>
      <c r="H2" s="1373"/>
      <c r="I2" s="1373"/>
      <c r="J2" s="1374"/>
      <c r="M2" s="1380" t="s">
        <v>13511</v>
      </c>
      <c r="N2" s="1381"/>
      <c r="O2" s="1381"/>
      <c r="P2" s="1382"/>
      <c r="R2" s="1380" t="s">
        <v>13510</v>
      </c>
      <c r="S2" s="1381"/>
      <c r="T2" s="1381"/>
      <c r="U2" s="1382"/>
      <c r="X2" s="1380" t="s">
        <v>13509</v>
      </c>
      <c r="Y2" s="1381"/>
      <c r="Z2" s="1381"/>
      <c r="AA2" s="1382"/>
      <c r="AC2" s="1372" t="s">
        <v>8155</v>
      </c>
      <c r="AD2" s="1373"/>
      <c r="AE2" s="1373"/>
      <c r="AF2" s="1374"/>
      <c r="AJ2" s="1372" t="s">
        <v>7168</v>
      </c>
      <c r="AK2" s="1373"/>
      <c r="AL2" s="1373"/>
      <c r="AM2" s="1374"/>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58" t="s">
        <v>9483</v>
      </c>
      <c r="C4" s="1359"/>
      <c r="D4" s="1359"/>
      <c r="E4" s="931">
        <f>'Main Summary'!B19</f>
        <v>228641873.22451612</v>
      </c>
      <c r="G4" s="1358" t="s">
        <v>9483</v>
      </c>
      <c r="H4" s="1359"/>
      <c r="I4" s="1359"/>
      <c r="J4" s="931">
        <f ca="1">'Main Summary'!F19-U5-U10</f>
        <v>289124037.18604004</v>
      </c>
      <c r="M4" s="1380" t="s">
        <v>11381</v>
      </c>
      <c r="N4" s="1381"/>
      <c r="O4" s="1381"/>
      <c r="P4" s="1382"/>
      <c r="R4" s="1380" t="s">
        <v>11381</v>
      </c>
      <c r="S4" s="1381"/>
      <c r="T4" s="1381"/>
      <c r="U4" s="1382"/>
      <c r="X4" s="1380" t="s">
        <v>11381</v>
      </c>
      <c r="Y4" s="1381"/>
      <c r="Z4" s="1381"/>
      <c r="AA4" s="1382"/>
      <c r="AC4" s="1358" t="s">
        <v>9483</v>
      </c>
      <c r="AD4" s="1359"/>
      <c r="AE4" s="1359"/>
      <c r="AF4" s="931">
        <f ca="1">'Main Summary'!J19-AA5-AA10</f>
        <v>137668700.60426268</v>
      </c>
      <c r="AJ4" s="1358" t="s">
        <v>9483</v>
      </c>
      <c r="AK4" s="1359"/>
      <c r="AL4" s="1359"/>
      <c r="AM4" s="931">
        <f>'Main Summary'!N19</f>
        <v>66512286.479166672</v>
      </c>
    </row>
    <row r="5" spans="2:41" ht="19.5" thickBot="1" x14ac:dyDescent="0.35">
      <c r="B5" s="1358" t="s">
        <v>9484</v>
      </c>
      <c r="C5" s="1359"/>
      <c r="D5" s="1359"/>
      <c r="E5" s="931">
        <f>'Main Summary'!C19</f>
        <v>225066680.93799999</v>
      </c>
      <c r="G5" s="1358" t="s">
        <v>9484</v>
      </c>
      <c r="H5" s="1359"/>
      <c r="I5" s="1359"/>
      <c r="J5" s="931">
        <f ca="1">'Main Summary'!G19-U6-U11</f>
        <v>374173213.57120001</v>
      </c>
      <c r="M5" s="1358" t="s">
        <v>9483</v>
      </c>
      <c r="N5" s="1359"/>
      <c r="O5" s="1359"/>
      <c r="P5" s="1021">
        <f ca="1">SUMIF(Posting!$B19940:$E52843,"Meezan Bank Head Office",Posting!$E19940:$E52843)</f>
        <v>12917227.629032258</v>
      </c>
      <c r="R5" s="1358" t="s">
        <v>9483</v>
      </c>
      <c r="S5" s="1359"/>
      <c r="T5" s="1359"/>
      <c r="U5" s="1021">
        <f ca="1">SUMIF(Posting!$B17317:$E19938,"Meezan Bank Head Office",Posting!$E17317:$E19938)</f>
        <v>19586377</v>
      </c>
      <c r="X5" s="1358" t="s">
        <v>9483</v>
      </c>
      <c r="Y5" s="1359"/>
      <c r="Z5" s="1359"/>
      <c r="AA5" s="1021">
        <f ca="1">SUMIF(Posting!$B1:$E17316,"Meezan Bank Head Office",Posting!$E1:$E17316)</f>
        <v>13034925</v>
      </c>
      <c r="AC5" s="1358" t="s">
        <v>9484</v>
      </c>
      <c r="AD5" s="1359"/>
      <c r="AE5" s="1359"/>
      <c r="AF5" s="931">
        <f ca="1">'Main Summary'!K19-AA6-AA11</f>
        <v>176831246.42000002</v>
      </c>
      <c r="AJ5" s="1358" t="s">
        <v>9484</v>
      </c>
      <c r="AK5" s="1359"/>
      <c r="AL5" s="1359"/>
      <c r="AM5" s="931">
        <f>'Main Summary'!O19</f>
        <v>82215394.510000005</v>
      </c>
    </row>
    <row r="6" spans="2:41" ht="18.75" x14ac:dyDescent="0.3">
      <c r="B6" s="1358" t="s">
        <v>2612</v>
      </c>
      <c r="C6" s="1359"/>
      <c r="D6" s="1359"/>
      <c r="E6" s="931">
        <f>E5-E4</f>
        <v>-3575192.28651613</v>
      </c>
      <c r="G6" s="1358" t="s">
        <v>2612</v>
      </c>
      <c r="H6" s="1359"/>
      <c r="I6" s="1359"/>
      <c r="J6" s="931">
        <f ca="1">J5-J4</f>
        <v>85049176.385159969</v>
      </c>
      <c r="M6" s="1358" t="s">
        <v>9484</v>
      </c>
      <c r="N6" s="1359"/>
      <c r="O6" s="1359"/>
      <c r="P6" s="1016">
        <f ca="1">SUMIF(Posting!$B19940:$F52843,"Meezan Bank Head Office",Posting!$F19940:$F52843)</f>
        <v>21277035</v>
      </c>
      <c r="R6" s="1358" t="s">
        <v>9484</v>
      </c>
      <c r="S6" s="1359"/>
      <c r="T6" s="1359"/>
      <c r="U6" s="1016">
        <f ca="1">SUMIF(Posting!$B17317:$F19938,"Meezan Bank Head Office",Posting!$F17317:$F19938)</f>
        <v>8936115</v>
      </c>
      <c r="X6" s="1358" t="s">
        <v>9484</v>
      </c>
      <c r="Y6" s="1359"/>
      <c r="Z6" s="1359"/>
      <c r="AA6" s="1016">
        <f ca="1">SUMIF(Posting!$B1:$F17316,"Meezan Bank Head Office",Posting!$F1:$F17316)</f>
        <v>19830000</v>
      </c>
      <c r="AC6" s="1358" t="s">
        <v>2612</v>
      </c>
      <c r="AD6" s="1359"/>
      <c r="AE6" s="1359"/>
      <c r="AF6" s="931">
        <f ca="1">AF5-AF4</f>
        <v>39162545.815737337</v>
      </c>
      <c r="AJ6" s="1358" t="s">
        <v>2612</v>
      </c>
      <c r="AK6" s="1359"/>
      <c r="AL6" s="1359"/>
      <c r="AM6" s="931">
        <f>AM5-AM4</f>
        <v>15703108.030833334</v>
      </c>
    </row>
    <row r="7" spans="2:41" ht="18.75" x14ac:dyDescent="0.3">
      <c r="B7" s="1358"/>
      <c r="C7" s="1359"/>
      <c r="D7" s="1359"/>
      <c r="E7" s="931"/>
      <c r="G7" s="1358"/>
      <c r="H7" s="1359"/>
      <c r="I7" s="1359"/>
      <c r="J7" s="931"/>
      <c r="M7" s="1358" t="s">
        <v>2612</v>
      </c>
      <c r="N7" s="1359"/>
      <c r="O7" s="1359"/>
      <c r="P7" s="931">
        <f ca="1">P6-P5</f>
        <v>8359807.3709677421</v>
      </c>
      <c r="R7" s="1358" t="s">
        <v>2612</v>
      </c>
      <c r="S7" s="1359"/>
      <c r="T7" s="1359"/>
      <c r="U7" s="931">
        <f ca="1">U6-U5</f>
        <v>-10650262</v>
      </c>
      <c r="X7" s="1358" t="s">
        <v>2612</v>
      </c>
      <c r="Y7" s="1359"/>
      <c r="Z7" s="1359"/>
      <c r="AA7" s="931">
        <f ca="1">AA6-AA5</f>
        <v>6795075</v>
      </c>
      <c r="AC7" s="1358"/>
      <c r="AD7" s="1359"/>
      <c r="AE7" s="1359"/>
      <c r="AF7" s="931"/>
      <c r="AJ7" s="1358"/>
      <c r="AK7" s="1359"/>
      <c r="AL7" s="1359"/>
      <c r="AM7" s="931"/>
    </row>
    <row r="8" spans="2:41" ht="19.5" thickBot="1" x14ac:dyDescent="0.35">
      <c r="B8" s="1365" t="s">
        <v>11029</v>
      </c>
      <c r="C8" s="1335"/>
      <c r="D8" s="1335"/>
      <c r="E8" s="931"/>
      <c r="G8" s="1365" t="s">
        <v>11029</v>
      </c>
      <c r="H8" s="1335"/>
      <c r="I8" s="1335"/>
      <c r="J8" s="931"/>
      <c r="M8" s="1358"/>
      <c r="N8" s="1359"/>
      <c r="O8" s="1359"/>
      <c r="P8" s="931"/>
      <c r="R8" s="1358"/>
      <c r="S8" s="1359"/>
      <c r="T8" s="1359"/>
      <c r="U8" s="931"/>
      <c r="X8" s="1358"/>
      <c r="Y8" s="1359"/>
      <c r="Z8" s="1359"/>
      <c r="AA8" s="931"/>
      <c r="AC8" s="1365" t="s">
        <v>11029</v>
      </c>
      <c r="AD8" s="1335"/>
      <c r="AE8" s="1335"/>
      <c r="AF8" s="931"/>
      <c r="AJ8" s="1358" t="s">
        <v>9485</v>
      </c>
      <c r="AK8" s="1359"/>
      <c r="AL8" s="1359"/>
      <c r="AM8" s="931">
        <v>300000</v>
      </c>
    </row>
    <row r="9" spans="2:41" ht="21.75" thickBot="1" x14ac:dyDescent="0.4">
      <c r="B9" s="1358" t="s">
        <v>9487</v>
      </c>
      <c r="C9" s="1359"/>
      <c r="D9" s="1359"/>
      <c r="E9" s="932">
        <v>820900</v>
      </c>
      <c r="G9" s="1358" t="s">
        <v>9487</v>
      </c>
      <c r="H9" s="1359"/>
      <c r="I9" s="1359"/>
      <c r="J9" s="932">
        <v>500000</v>
      </c>
      <c r="M9" s="1380" t="s">
        <v>11382</v>
      </c>
      <c r="N9" s="1381"/>
      <c r="O9" s="1381"/>
      <c r="P9" s="1382"/>
      <c r="R9" s="1380" t="s">
        <v>11382</v>
      </c>
      <c r="S9" s="1381"/>
      <c r="T9" s="1381"/>
      <c r="U9" s="1382"/>
      <c r="X9" s="1380" t="s">
        <v>11382</v>
      </c>
      <c r="Y9" s="1381"/>
      <c r="Z9" s="1381"/>
      <c r="AA9" s="1382"/>
      <c r="AC9" s="1358" t="s">
        <v>9487</v>
      </c>
      <c r="AD9" s="1359"/>
      <c r="AE9" s="1359"/>
      <c r="AF9" s="932">
        <v>526260</v>
      </c>
      <c r="AJ9" s="1358" t="s">
        <v>9486</v>
      </c>
      <c r="AK9" s="1359"/>
      <c r="AL9" s="1359"/>
      <c r="AM9" s="931">
        <v>526260</v>
      </c>
    </row>
    <row r="10" spans="2:41" s="928" customFormat="1" ht="19.5" thickBot="1" x14ac:dyDescent="0.35">
      <c r="B10" s="1358"/>
      <c r="C10" s="1359"/>
      <c r="D10" s="1359"/>
      <c r="E10" s="932"/>
      <c r="G10" s="1358"/>
      <c r="H10" s="1359"/>
      <c r="I10" s="1359"/>
      <c r="J10" s="932"/>
      <c r="M10" s="1358" t="s">
        <v>9483</v>
      </c>
      <c r="N10" s="1359"/>
      <c r="O10" s="1359"/>
      <c r="P10" s="1021">
        <f ca="1">SUMIF(Posting!$B19940:$E52843,"Saifee Hospital",Posting!$E19940:$E52843)</f>
        <v>2307891.935483871</v>
      </c>
      <c r="R10" s="1358" t="s">
        <v>9483</v>
      </c>
      <c r="S10" s="1359"/>
      <c r="T10" s="1359"/>
      <c r="U10" s="1021">
        <f ca="1">SUMIF(Posting!$B17317:$E19938,"Saifee Hospital",Posting!$E17317:$E19938)</f>
        <v>2187330</v>
      </c>
      <c r="X10" s="1358" t="s">
        <v>9483</v>
      </c>
      <c r="Y10" s="1359"/>
      <c r="Z10" s="1359"/>
      <c r="AA10" s="1021">
        <f ca="1">SUMIF(Posting!$B1:$E17316,"Saifee Hospital",Posting!$E1:$E17316)</f>
        <v>1591330</v>
      </c>
      <c r="AC10" s="1358"/>
      <c r="AD10" s="1359"/>
      <c r="AE10" s="1359"/>
      <c r="AF10" s="932"/>
      <c r="AJ10" s="1358" t="s">
        <v>9487</v>
      </c>
      <c r="AK10" s="1359"/>
      <c r="AL10" s="1359"/>
      <c r="AM10" s="932">
        <v>1314656</v>
      </c>
    </row>
    <row r="11" spans="2:41" ht="18.75" x14ac:dyDescent="0.3">
      <c r="B11" s="1365" t="s">
        <v>2612</v>
      </c>
      <c r="C11" s="1335"/>
      <c r="D11" s="1335"/>
      <c r="E11" s="931">
        <f>E9+E6</f>
        <v>-2754292.28651613</v>
      </c>
      <c r="G11" s="1365" t="s">
        <v>2612</v>
      </c>
      <c r="H11" s="1335"/>
      <c r="I11" s="1335"/>
      <c r="J11" s="931">
        <f ca="1">J9+J6</f>
        <v>85549176.385159969</v>
      </c>
      <c r="M11" s="1358" t="s">
        <v>9484</v>
      </c>
      <c r="N11" s="1359"/>
      <c r="O11" s="1359"/>
      <c r="P11" s="1016">
        <f ca="1">SUMIF(Posting!$B19940:$F52843,"Saifee Hospital",Posting!$F19940:$F52843)</f>
        <v>3000000</v>
      </c>
      <c r="R11" s="1358" t="s">
        <v>9484</v>
      </c>
      <c r="S11" s="1359"/>
      <c r="T11" s="1359"/>
      <c r="U11" s="1016">
        <f ca="1">SUMIF(Posting!$B17317:$F19938,"Saifee Hospital",Posting!$F17317:$F19938)</f>
        <v>3724000</v>
      </c>
      <c r="X11" s="1358" t="s">
        <v>9484</v>
      </c>
      <c r="Y11" s="1359"/>
      <c r="Z11" s="1359"/>
      <c r="AA11" s="1016">
        <f ca="1">SUMIF(Posting!$B1:$F17316,"Saifee Hospital",Posting!$F1:$F17316)</f>
        <v>2434251</v>
      </c>
      <c r="AC11" s="1365" t="s">
        <v>2612</v>
      </c>
      <c r="AD11" s="1335"/>
      <c r="AE11" s="1335"/>
      <c r="AF11" s="931">
        <f ca="1">AF9+AF6</f>
        <v>39688805.815737337</v>
      </c>
      <c r="AJ11" s="1358" t="s">
        <v>2614</v>
      </c>
      <c r="AK11" s="1359"/>
      <c r="AL11" s="1359"/>
      <c r="AM11" s="931">
        <f>AM6-AM8-AM9+AM10</f>
        <v>16191504.030833334</v>
      </c>
    </row>
    <row r="12" spans="2:41" ht="21" x14ac:dyDescent="0.35">
      <c r="B12" s="1360"/>
      <c r="C12" s="1361"/>
      <c r="D12" s="1362"/>
      <c r="E12" s="931"/>
      <c r="G12" s="1360"/>
      <c r="H12" s="1361"/>
      <c r="I12" s="1362"/>
      <c r="J12" s="931"/>
      <c r="M12" s="1358" t="s">
        <v>2612</v>
      </c>
      <c r="N12" s="1359"/>
      <c r="O12" s="1359"/>
      <c r="P12" s="931">
        <f ca="1">P11-P10</f>
        <v>692108.06451612897</v>
      </c>
      <c r="R12" s="1358" t="s">
        <v>2612</v>
      </c>
      <c r="S12" s="1359"/>
      <c r="T12" s="1359"/>
      <c r="U12" s="931">
        <f ca="1">U11-U10</f>
        <v>1536670</v>
      </c>
      <c r="X12" s="1358" t="s">
        <v>2612</v>
      </c>
      <c r="Y12" s="1359"/>
      <c r="Z12" s="1359"/>
      <c r="AA12" s="931">
        <f ca="1">AA11-AA10</f>
        <v>842921</v>
      </c>
      <c r="AC12" s="1360"/>
      <c r="AD12" s="1361"/>
      <c r="AE12" s="1362"/>
      <c r="AF12" s="931"/>
      <c r="AJ12" s="1375" t="s">
        <v>9488</v>
      </c>
      <c r="AK12" s="1376"/>
      <c r="AL12" s="1376"/>
      <c r="AM12" s="935">
        <v>2434251</v>
      </c>
    </row>
    <row r="13" spans="2:41" s="968" customFormat="1" ht="21.75" thickBot="1" x14ac:dyDescent="0.4">
      <c r="B13" s="1366" t="s">
        <v>11028</v>
      </c>
      <c r="C13" s="1367"/>
      <c r="D13" s="1368"/>
      <c r="E13" s="931"/>
      <c r="G13" s="1366" t="s">
        <v>11028</v>
      </c>
      <c r="H13" s="1367"/>
      <c r="I13" s="1368"/>
      <c r="J13" s="931"/>
      <c r="M13" s="1365"/>
      <c r="N13" s="1335"/>
      <c r="O13" s="1335"/>
      <c r="P13" s="931"/>
      <c r="R13" s="1365"/>
      <c r="S13" s="1335"/>
      <c r="T13" s="1335"/>
      <c r="U13" s="931"/>
      <c r="X13" s="1365"/>
      <c r="Y13" s="1335"/>
      <c r="Z13" s="1335"/>
      <c r="AA13" s="931"/>
      <c r="AC13" s="1366" t="s">
        <v>11028</v>
      </c>
      <c r="AD13" s="1367"/>
      <c r="AE13" s="1368"/>
      <c r="AF13" s="931"/>
      <c r="AJ13" s="1353" t="s">
        <v>2614</v>
      </c>
      <c r="AK13" s="1354"/>
      <c r="AL13" s="1354"/>
      <c r="AM13" s="967">
        <f>AM11-AM12</f>
        <v>13757253.030833334</v>
      </c>
    </row>
    <row r="14" spans="2:41" ht="18.75" x14ac:dyDescent="0.3">
      <c r="B14" s="1360" t="s">
        <v>9485</v>
      </c>
      <c r="C14" s="1361"/>
      <c r="D14" s="1362"/>
      <c r="E14" s="931">
        <v>600000</v>
      </c>
      <c r="G14" s="1360" t="s">
        <v>9485</v>
      </c>
      <c r="H14" s="1361"/>
      <c r="I14" s="1362"/>
      <c r="J14" s="931">
        <v>600000</v>
      </c>
      <c r="M14" s="1360"/>
      <c r="N14" s="1361"/>
      <c r="O14" s="1362"/>
      <c r="P14" s="931"/>
      <c r="R14" s="1360"/>
      <c r="S14" s="1361"/>
      <c r="T14" s="1362"/>
      <c r="U14" s="931"/>
      <c r="X14" s="1360"/>
      <c r="Y14" s="1361"/>
      <c r="Z14" s="1362"/>
      <c r="AA14" s="931"/>
      <c r="AC14" s="1360" t="s">
        <v>9485</v>
      </c>
      <c r="AD14" s="1361"/>
      <c r="AE14" s="1362"/>
      <c r="AF14" s="931">
        <v>300000</v>
      </c>
      <c r="AJ14" s="933"/>
      <c r="AK14" s="933"/>
      <c r="AL14" s="933"/>
      <c r="AM14" s="934"/>
    </row>
    <row r="15" spans="2:41" ht="18.75" x14ac:dyDescent="0.3">
      <c r="B15" s="1360" t="s">
        <v>9486</v>
      </c>
      <c r="C15" s="1361"/>
      <c r="D15" s="1362"/>
      <c r="E15" s="931"/>
      <c r="F15" s="301"/>
      <c r="G15" s="1360" t="s">
        <v>9486</v>
      </c>
      <c r="H15" s="1361"/>
      <c r="I15" s="1362"/>
      <c r="J15" s="931">
        <v>845422</v>
      </c>
      <c r="K15" s="301"/>
      <c r="L15" s="301"/>
      <c r="Q15" s="301"/>
      <c r="V15" s="301"/>
      <c r="W15" s="301"/>
      <c r="AB15" s="301"/>
      <c r="AC15" s="1360" t="s">
        <v>9486</v>
      </c>
      <c r="AD15" s="1361"/>
      <c r="AE15" s="1362"/>
      <c r="AF15" s="931">
        <v>500000</v>
      </c>
      <c r="AG15" s="301"/>
      <c r="AH15" s="301"/>
      <c r="AI15" s="301"/>
      <c r="AJ15" s="933"/>
      <c r="AK15" s="933"/>
      <c r="AL15" s="933"/>
      <c r="AM15" s="934"/>
    </row>
    <row r="16" spans="2:41" ht="18.75" x14ac:dyDescent="0.3">
      <c r="B16" s="1360" t="s">
        <v>12703</v>
      </c>
      <c r="C16" s="1361"/>
      <c r="D16" s="1362"/>
      <c r="E16" s="931"/>
      <c r="F16" s="301"/>
      <c r="G16" s="1360"/>
      <c r="H16" s="1361"/>
      <c r="I16" s="1362"/>
      <c r="J16" s="931"/>
      <c r="K16" s="301"/>
      <c r="L16" s="301"/>
      <c r="Q16" s="301"/>
      <c r="V16" s="301"/>
      <c r="W16" s="301"/>
      <c r="AB16" s="301"/>
      <c r="AC16" s="1360" t="s">
        <v>11031</v>
      </c>
      <c r="AD16" s="1361"/>
      <c r="AE16" s="1362"/>
      <c r="AF16" s="1046">
        <v>0</v>
      </c>
      <c r="AG16" s="301"/>
      <c r="AH16" s="301"/>
      <c r="AI16" s="301"/>
      <c r="AJ16" s="933"/>
      <c r="AK16" s="933"/>
      <c r="AL16" s="933"/>
      <c r="AM16" s="934"/>
    </row>
    <row r="17" spans="2:39" ht="21" x14ac:dyDescent="0.35">
      <c r="B17" s="1363"/>
      <c r="C17" s="1364"/>
      <c r="D17" s="1364"/>
      <c r="E17" s="1025"/>
      <c r="F17" s="301"/>
      <c r="G17" s="1363"/>
      <c r="H17" s="1364"/>
      <c r="I17" s="1364"/>
      <c r="J17" s="1025"/>
      <c r="K17" s="301"/>
      <c r="L17" s="301"/>
      <c r="P17" s="3">
        <f ca="1">P12+P7</f>
        <v>9051915.435483871</v>
      </c>
      <c r="Q17" s="301"/>
      <c r="U17" s="3">
        <f ca="1">U12+U7</f>
        <v>-9113592</v>
      </c>
      <c r="V17" s="301"/>
      <c r="W17" s="301"/>
      <c r="AA17" s="3">
        <f ca="1">AA12+AA7</f>
        <v>7637996</v>
      </c>
      <c r="AB17" s="301"/>
      <c r="AC17" s="1363" t="s">
        <v>11383</v>
      </c>
      <c r="AD17" s="1364"/>
      <c r="AE17" s="1364"/>
      <c r="AF17" s="1025">
        <v>3707947</v>
      </c>
      <c r="AG17" s="301"/>
      <c r="AH17" s="301"/>
      <c r="AI17" s="301"/>
      <c r="AJ17" s="1078"/>
      <c r="AK17" s="933"/>
      <c r="AL17" s="933"/>
      <c r="AM17" s="934"/>
    </row>
    <row r="18" spans="2:39" ht="21" x14ac:dyDescent="0.35">
      <c r="B18" s="1363"/>
      <c r="C18" s="1364"/>
      <c r="D18" s="1364"/>
      <c r="E18" s="1025"/>
      <c r="F18" s="301"/>
      <c r="G18" s="1363"/>
      <c r="H18" s="1364"/>
      <c r="I18" s="1364"/>
      <c r="J18" s="1025"/>
      <c r="K18" s="301"/>
      <c r="L18" s="301"/>
      <c r="M18" s="3"/>
      <c r="P18" s="3"/>
      <c r="Q18" s="301"/>
      <c r="R18" s="3"/>
      <c r="U18" s="3"/>
      <c r="V18" s="301"/>
      <c r="W18" s="301"/>
      <c r="AB18" s="301"/>
      <c r="AC18" s="1363"/>
      <c r="AD18" s="1364"/>
      <c r="AE18" s="1364"/>
      <c r="AF18" s="1025"/>
      <c r="AG18" s="301"/>
      <c r="AH18" s="301"/>
      <c r="AI18" s="301"/>
      <c r="AJ18" s="933"/>
      <c r="AK18" s="933"/>
      <c r="AL18" s="933"/>
      <c r="AM18" s="934"/>
    </row>
    <row r="19" spans="2:39" ht="19.5" thickBot="1" x14ac:dyDescent="0.35">
      <c r="B19" s="1365"/>
      <c r="C19" s="1335"/>
      <c r="D19" s="1335"/>
      <c r="E19" s="1026"/>
      <c r="F19" s="301"/>
      <c r="G19" s="1365"/>
      <c r="H19" s="1335"/>
      <c r="I19" s="1335"/>
      <c r="J19" s="1026"/>
      <c r="K19" s="301"/>
      <c r="L19" s="301"/>
      <c r="P19" s="3"/>
      <c r="Q19" s="301"/>
      <c r="U19" s="3"/>
      <c r="V19" s="301"/>
      <c r="W19" s="301"/>
      <c r="AB19" s="301"/>
      <c r="AC19" s="1365"/>
      <c r="AD19" s="1335"/>
      <c r="AE19" s="1335"/>
      <c r="AF19" s="1026"/>
      <c r="AG19" s="301"/>
      <c r="AH19" s="301"/>
      <c r="AI19" s="301"/>
      <c r="AJ19" s="933"/>
      <c r="AK19" s="933"/>
      <c r="AL19" s="933"/>
      <c r="AM19" s="934"/>
    </row>
    <row r="20" spans="2:39" ht="21" x14ac:dyDescent="0.35">
      <c r="B20" s="1365" t="s">
        <v>11030</v>
      </c>
      <c r="C20" s="1335"/>
      <c r="D20" s="1335"/>
      <c r="E20" s="1025">
        <f>SUM(E14:E19)</f>
        <v>600000</v>
      </c>
      <c r="G20" s="1365" t="s">
        <v>11030</v>
      </c>
      <c r="H20" s="1335"/>
      <c r="I20" s="1335"/>
      <c r="J20" s="1025">
        <f>SUM(J14:J19)</f>
        <v>1445422</v>
      </c>
      <c r="P20" s="3"/>
      <c r="U20" s="3">
        <f ca="1">AA17+U17+P17</f>
        <v>7576319.435483871</v>
      </c>
      <c r="AA20" s="3"/>
      <c r="AC20" s="1365" t="s">
        <v>11030</v>
      </c>
      <c r="AD20" s="1335"/>
      <c r="AE20" s="1335"/>
      <c r="AF20" s="1025">
        <f>SUM(AF14:AF19)</f>
        <v>4507947</v>
      </c>
      <c r="AJ20" s="1355" t="s">
        <v>9489</v>
      </c>
      <c r="AK20" s="1356"/>
      <c r="AL20" s="1356"/>
      <c r="AM20" s="1357"/>
    </row>
    <row r="21" spans="2:39" s="928" customFormat="1" ht="21" x14ac:dyDescent="0.35">
      <c r="B21" s="1363"/>
      <c r="C21" s="1364"/>
      <c r="D21" s="1364"/>
      <c r="E21" s="1025"/>
      <c r="G21" s="1363"/>
      <c r="H21" s="1364"/>
      <c r="I21" s="1364"/>
      <c r="J21" s="1025"/>
      <c r="M21"/>
      <c r="N21"/>
      <c r="O21"/>
      <c r="P21" s="3"/>
      <c r="R21"/>
      <c r="S21"/>
      <c r="T21"/>
      <c r="U21" s="3"/>
      <c r="X21"/>
      <c r="Y21"/>
      <c r="Z21"/>
      <c r="AA21"/>
      <c r="AC21" s="1363"/>
      <c r="AD21" s="1364"/>
      <c r="AE21" s="1364"/>
      <c r="AF21" s="1025"/>
      <c r="AJ21" s="969" t="s">
        <v>9491</v>
      </c>
      <c r="AK21" s="965" t="s">
        <v>4750</v>
      </c>
      <c r="AL21" s="965" t="s">
        <v>1201</v>
      </c>
      <c r="AM21" s="971" t="s">
        <v>1893</v>
      </c>
    </row>
    <row r="22" spans="2:39" s="928" customFormat="1" ht="21.75" thickBot="1" x14ac:dyDescent="0.4">
      <c r="B22" s="1353" t="s">
        <v>2614</v>
      </c>
      <c r="C22" s="1354"/>
      <c r="D22" s="1354"/>
      <c r="E22" s="967">
        <f>E11-E20</f>
        <v>-3354292.28651613</v>
      </c>
      <c r="G22" s="1353" t="s">
        <v>2614</v>
      </c>
      <c r="H22" s="1354"/>
      <c r="I22" s="1354"/>
      <c r="J22" s="967">
        <f ca="1">J11-J20</f>
        <v>84103754.385159969</v>
      </c>
      <c r="M22"/>
      <c r="N22"/>
      <c r="O22"/>
      <c r="P22"/>
      <c r="R22"/>
      <c r="S22"/>
      <c r="T22"/>
      <c r="U22"/>
      <c r="X22"/>
      <c r="Y22"/>
      <c r="Z22"/>
      <c r="AA22"/>
      <c r="AC22" s="1353" t="s">
        <v>2614</v>
      </c>
      <c r="AD22" s="1354"/>
      <c r="AE22" s="135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55" t="s">
        <v>9489</v>
      </c>
      <c r="C24" s="1356"/>
      <c r="D24" s="1356"/>
      <c r="E24" s="1357"/>
      <c r="G24" s="1355" t="s">
        <v>9489</v>
      </c>
      <c r="H24" s="1356"/>
      <c r="I24" s="1356"/>
      <c r="J24" s="1357"/>
      <c r="M24"/>
      <c r="N24"/>
      <c r="O24"/>
      <c r="P24"/>
      <c r="R24"/>
      <c r="S24"/>
      <c r="T24"/>
      <c r="U24"/>
      <c r="X24"/>
      <c r="Y24"/>
      <c r="Z24"/>
      <c r="AA24"/>
      <c r="AC24" s="1355" t="s">
        <v>9489</v>
      </c>
      <c r="AD24" s="1356"/>
      <c r="AE24" s="1356"/>
      <c r="AF24" s="135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-1106916.4545503228</v>
      </c>
      <c r="D27" s="939">
        <f>D26*E22</f>
        <v>-1106916.4545503228</v>
      </c>
      <c r="E27" s="932">
        <f>E26*E22</f>
        <v>-1140459.3774154843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9541200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-1106916.4545503228</v>
      </c>
      <c r="D29" s="942">
        <f t="shared" ref="D29:E29" si="1">D27-D28</f>
        <v>-1106916.4545503228</v>
      </c>
      <c r="E29" s="943">
        <f t="shared" si="1"/>
        <v>-1140459.3774154843</v>
      </c>
      <c r="G29" s="937" t="s">
        <v>9494</v>
      </c>
      <c r="H29" s="942">
        <f ca="1">H27-H28</f>
        <v>18213038.947102793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89" t="s">
        <v>5473</v>
      </c>
      <c r="B1" s="1389"/>
      <c r="C1" s="1389"/>
      <c r="D1" s="1389"/>
      <c r="E1" s="1389"/>
      <c r="F1" s="1389"/>
      <c r="G1" s="1389"/>
      <c r="H1" s="1389"/>
      <c r="I1" s="1389"/>
      <c r="J1" s="1389"/>
    </row>
    <row r="2" spans="1:13" x14ac:dyDescent="0.25">
      <c r="A2" s="1389"/>
      <c r="B2" s="1389"/>
      <c r="C2" s="1389"/>
      <c r="D2" s="1389"/>
      <c r="E2" s="1389"/>
      <c r="F2" s="1389"/>
      <c r="G2" s="1389"/>
      <c r="H2" s="1389"/>
      <c r="I2" s="1389"/>
      <c r="J2" s="138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88" t="s">
        <v>5482</v>
      </c>
      <c r="B11" s="1388"/>
      <c r="C11" s="1388"/>
      <c r="D11" s="1388"/>
    </row>
    <row r="12" spans="1:13" x14ac:dyDescent="0.25">
      <c r="A12" s="360" t="s">
        <v>5157</v>
      </c>
      <c r="B12" s="360" t="s">
        <v>938</v>
      </c>
      <c r="C12" s="360" t="s">
        <v>1201</v>
      </c>
      <c r="D12" s="360" t="s">
        <v>1893</v>
      </c>
      <c r="E12" s="3"/>
      <c r="G12" s="1390" t="s">
        <v>5483</v>
      </c>
      <c r="H12" s="1391"/>
      <c r="I12" s="1392"/>
      <c r="J12" s="370">
        <f>H9+I9+J9</f>
        <v>9658438.778794989</v>
      </c>
    </row>
    <row r="13" spans="1:13" x14ac:dyDescent="0.25">
      <c r="A13" s="2" t="s">
        <v>5158</v>
      </c>
      <c r="B13" s="15">
        <v>9323439</v>
      </c>
      <c r="C13" s="15">
        <v>9323439</v>
      </c>
      <c r="D13" s="15">
        <v>9605968</v>
      </c>
      <c r="G13" s="1390" t="s">
        <v>5484</v>
      </c>
      <c r="H13" s="1391"/>
      <c r="I13" s="1392"/>
      <c r="J13" s="370">
        <f>J31</f>
        <v>5549996</v>
      </c>
    </row>
    <row r="14" spans="1:13" x14ac:dyDescent="0.25">
      <c r="A14" s="2" t="s">
        <v>5159</v>
      </c>
      <c r="B14" s="15">
        <v>7575873</v>
      </c>
      <c r="C14" s="15">
        <v>7575873</v>
      </c>
      <c r="D14" s="15">
        <v>7805445</v>
      </c>
      <c r="G14" s="1390" t="s">
        <v>5485</v>
      </c>
      <c r="H14" s="1391"/>
      <c r="I14" s="139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93" t="s">
        <v>5486</v>
      </c>
      <c r="G18" s="139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88" t="s">
        <v>5490</v>
      </c>
      <c r="J22" s="138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17" t="s">
        <v>7870</v>
      </c>
      <c r="B40" s="1318"/>
      <c r="C40" s="1318"/>
      <c r="D40" s="1318"/>
      <c r="E40" s="1318"/>
      <c r="F40" s="1318"/>
      <c r="G40" s="1318"/>
      <c r="H40" s="1318"/>
      <c r="I40" s="1318"/>
      <c r="J40" s="1318"/>
      <c r="K40" s="1319"/>
    </row>
    <row r="41" spans="1:12" ht="15.75" thickBot="1" x14ac:dyDescent="0.3">
      <c r="A41" s="1323"/>
      <c r="B41" s="1324"/>
      <c r="C41" s="1324"/>
      <c r="D41" s="1324"/>
      <c r="E41" s="1324"/>
      <c r="F41" s="1324"/>
      <c r="G41" s="1324"/>
      <c r="H41" s="1324"/>
      <c r="I41" s="1324"/>
      <c r="J41" s="1324"/>
      <c r="K41" s="132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17" t="s">
        <v>7167</v>
      </c>
      <c r="B51" s="1318"/>
      <c r="C51" s="1318"/>
      <c r="D51" s="1318"/>
      <c r="E51" s="1318"/>
      <c r="F51" s="1318"/>
      <c r="G51" s="1318"/>
      <c r="H51" s="1318"/>
      <c r="I51" s="1318"/>
      <c r="J51" s="1318"/>
      <c r="K51" s="1319"/>
    </row>
    <row r="52" spans="1:14" ht="15.75" thickBot="1" x14ac:dyDescent="0.3">
      <c r="A52" s="1323"/>
      <c r="B52" s="1324"/>
      <c r="C52" s="1324"/>
      <c r="D52" s="1324"/>
      <c r="E52" s="1324"/>
      <c r="F52" s="1324"/>
      <c r="G52" s="1324"/>
      <c r="H52" s="1324"/>
      <c r="I52" s="1324"/>
      <c r="J52" s="1324"/>
      <c r="K52" s="132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20" t="s">
        <v>7168</v>
      </c>
      <c r="B59" s="1321"/>
      <c r="C59" s="1321"/>
      <c r="D59" s="1321"/>
      <c r="E59" s="1321"/>
      <c r="F59" s="1321"/>
      <c r="G59" s="1321"/>
      <c r="H59" s="1321"/>
      <c r="I59" s="1321"/>
      <c r="J59" s="1321"/>
      <c r="K59" s="1321"/>
      <c r="L59" s="964"/>
      <c r="M59" s="964"/>
    </row>
    <row r="60" spans="1:14" ht="15.75" customHeight="1" x14ac:dyDescent="0.25">
      <c r="A60" s="1386"/>
      <c r="B60" s="1387"/>
      <c r="C60" s="1387"/>
      <c r="D60" s="1387"/>
      <c r="E60" s="1387"/>
      <c r="F60" s="1387"/>
      <c r="G60" s="1387"/>
      <c r="H60" s="1387"/>
      <c r="I60" s="1387"/>
      <c r="J60" s="1387"/>
      <c r="K60" s="1387"/>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83" t="s">
        <v>10387</v>
      </c>
      <c r="F66" s="1384"/>
      <c r="G66" s="1385"/>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17" t="s">
        <v>8155</v>
      </c>
      <c r="B74" s="1318"/>
      <c r="C74" s="1318"/>
      <c r="D74" s="1318"/>
      <c r="E74" s="1318"/>
      <c r="F74" s="1318"/>
      <c r="G74" s="1318"/>
      <c r="H74" s="1318"/>
      <c r="I74" s="1318"/>
      <c r="J74" s="1318"/>
      <c r="K74" s="1318"/>
      <c r="L74" s="1319"/>
    </row>
    <row r="75" spans="1:20" ht="15.75" customHeight="1" thickBot="1" x14ac:dyDescent="0.3">
      <c r="A75" s="1323"/>
      <c r="B75" s="1324"/>
      <c r="C75" s="1324"/>
      <c r="D75" s="1324"/>
      <c r="E75" s="1324"/>
      <c r="F75" s="1324"/>
      <c r="G75" s="1324"/>
      <c r="H75" s="1324"/>
      <c r="I75" s="1324"/>
      <c r="J75" s="1324"/>
      <c r="K75" s="1324"/>
      <c r="L75" s="132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4" t="s">
        <v>10486</v>
      </c>
      <c r="D82" s="1395"/>
      <c r="E82" s="1395"/>
      <c r="F82" s="1395"/>
      <c r="G82" s="1395"/>
      <c r="H82" s="1396"/>
      <c r="I82" s="975"/>
      <c r="J82" s="975">
        <f>19830000/3</f>
        <v>6610000</v>
      </c>
      <c r="K82" s="975">
        <f>19830000/3</f>
        <v>6610000</v>
      </c>
      <c r="L82" s="975">
        <f>19830000/3</f>
        <v>6610000</v>
      </c>
      <c r="M82" s="947"/>
    </row>
    <row r="83" spans="1:17" x14ac:dyDescent="0.25">
      <c r="M83" s="3"/>
    </row>
    <row r="84" spans="1:17" s="928" customFormat="1" ht="26.25" customHeight="1" x14ac:dyDescent="0.25">
      <c r="C84" s="1394" t="s">
        <v>10524</v>
      </c>
      <c r="D84" s="1395"/>
      <c r="E84" s="1395"/>
      <c r="F84" s="1395"/>
      <c r="G84" s="1395"/>
      <c r="H84" s="139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17" t="s">
        <v>10389</v>
      </c>
      <c r="B89" s="1318"/>
      <c r="C89" s="1318"/>
      <c r="D89" s="1318"/>
      <c r="E89" s="1318"/>
      <c r="F89" s="1318"/>
      <c r="G89" s="1318"/>
      <c r="H89" s="1318"/>
      <c r="I89" s="1318"/>
      <c r="J89" s="1318"/>
      <c r="K89" s="1319"/>
      <c r="L89" s="3"/>
      <c r="M89" s="3"/>
    </row>
    <row r="90" spans="1:17" ht="15.75" thickBot="1" x14ac:dyDescent="0.3">
      <c r="A90" s="1323"/>
      <c r="B90" s="1324"/>
      <c r="C90" s="1324"/>
      <c r="D90" s="1324"/>
      <c r="E90" s="1324"/>
      <c r="F90" s="1324"/>
      <c r="G90" s="1324"/>
      <c r="H90" s="1324"/>
      <c r="I90" s="1324"/>
      <c r="J90" s="1324"/>
      <c r="K90" s="132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3" t="s">
        <v>2610</v>
      </c>
      <c r="B2" s="1413"/>
      <c r="C2" s="1413"/>
      <c r="D2" s="1413"/>
      <c r="E2" s="1413"/>
      <c r="F2" s="1413"/>
      <c r="G2" s="1413"/>
      <c r="H2" s="1413"/>
      <c r="I2" s="1413"/>
      <c r="J2" s="1413"/>
      <c r="K2" s="1413"/>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0">
        <v>28459027</v>
      </c>
      <c r="B4" s="1410">
        <v>35457479</v>
      </c>
      <c r="C4" s="1410">
        <f>B4-A4</f>
        <v>6998452</v>
      </c>
      <c r="D4" s="1410" t="s">
        <v>2618</v>
      </c>
      <c r="E4" s="225"/>
      <c r="F4" s="225"/>
      <c r="G4" s="225"/>
      <c r="H4" s="1410">
        <f>C4</f>
        <v>6998452</v>
      </c>
      <c r="I4" s="1410">
        <f>H4*25%</f>
        <v>1749613</v>
      </c>
      <c r="J4" s="1410">
        <f>H4*25%</f>
        <v>1749613</v>
      </c>
      <c r="K4" s="1410">
        <f>H4*50%</f>
        <v>3499226</v>
      </c>
    </row>
    <row r="5" spans="1:11" ht="21" customHeight="1" x14ac:dyDescent="0.25">
      <c r="A5" s="1410"/>
      <c r="B5" s="1410"/>
      <c r="C5" s="1410"/>
      <c r="D5" s="1410"/>
      <c r="E5" s="225"/>
      <c r="F5" s="225"/>
      <c r="G5" s="225"/>
      <c r="H5" s="1410"/>
      <c r="I5" s="1410"/>
      <c r="J5" s="1410"/>
      <c r="K5" s="1410"/>
    </row>
    <row r="6" spans="1:11" ht="15.75" x14ac:dyDescent="0.25">
      <c r="A6" s="1411" t="s">
        <v>2619</v>
      </c>
      <c r="B6" s="1411"/>
      <c r="C6" s="1411"/>
      <c r="D6" s="1411"/>
      <c r="E6" s="1411"/>
      <c r="F6" s="1411"/>
      <c r="G6" s="1411"/>
      <c r="H6" s="1411"/>
      <c r="I6" s="186" t="s">
        <v>158</v>
      </c>
      <c r="J6" s="186" t="s">
        <v>2620</v>
      </c>
      <c r="K6" s="186" t="s">
        <v>2620</v>
      </c>
    </row>
    <row r="7" spans="1:11" ht="15.75" x14ac:dyDescent="0.25">
      <c r="A7" s="1411" t="s">
        <v>2621</v>
      </c>
      <c r="B7" s="1411"/>
      <c r="C7" s="1411"/>
      <c r="D7" s="1411"/>
      <c r="E7" s="1411"/>
      <c r="F7" s="1411"/>
      <c r="G7" s="1411"/>
      <c r="H7" s="1411"/>
      <c r="I7" s="186" t="s">
        <v>2622</v>
      </c>
      <c r="J7" s="187">
        <f>J4</f>
        <v>1749613</v>
      </c>
      <c r="K7" s="187">
        <f>K4</f>
        <v>3499226</v>
      </c>
    </row>
    <row r="9" spans="1:11" ht="18" x14ac:dyDescent="0.25">
      <c r="A9" s="1413" t="s">
        <v>2623</v>
      </c>
      <c r="B9" s="1413"/>
      <c r="C9" s="1413"/>
      <c r="D9" s="1413"/>
      <c r="E9" s="1413"/>
      <c r="F9" s="1413"/>
      <c r="G9" s="1413"/>
      <c r="H9" s="1413"/>
      <c r="I9" s="1413"/>
      <c r="J9" s="1413"/>
      <c r="K9" s="1413"/>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0">
        <v>42596884</v>
      </c>
      <c r="B11" s="1410">
        <v>51367818</v>
      </c>
      <c r="C11" s="1410">
        <f>B11-A11</f>
        <v>8770934</v>
      </c>
      <c r="D11" s="1410" t="s">
        <v>2618</v>
      </c>
      <c r="E11" s="225"/>
      <c r="F11" s="225"/>
      <c r="G11" s="225"/>
      <c r="H11" s="1410">
        <f>C11</f>
        <v>8770934</v>
      </c>
      <c r="I11" s="1410">
        <f>H11*25%</f>
        <v>2192733.5</v>
      </c>
      <c r="J11" s="1410">
        <f>H11*25%</f>
        <v>2192733.5</v>
      </c>
      <c r="K11" s="1410">
        <f>H11*50%</f>
        <v>4385467</v>
      </c>
    </row>
    <row r="12" spans="1:11" ht="12.75" customHeight="1" x14ac:dyDescent="0.25">
      <c r="A12" s="1410"/>
      <c r="B12" s="1410"/>
      <c r="C12" s="1410"/>
      <c r="D12" s="1410"/>
      <c r="E12" s="225"/>
      <c r="F12" s="225"/>
      <c r="G12" s="225"/>
      <c r="H12" s="1410"/>
      <c r="I12" s="1410"/>
      <c r="J12" s="1410"/>
      <c r="K12" s="1410"/>
    </row>
    <row r="13" spans="1:11" ht="15.75" x14ac:dyDescent="0.25">
      <c r="A13" s="1411" t="s">
        <v>2624</v>
      </c>
      <c r="B13" s="1411"/>
      <c r="C13" s="1411"/>
      <c r="D13" s="1411"/>
      <c r="E13" s="1411"/>
      <c r="F13" s="1411"/>
      <c r="G13" s="1411"/>
      <c r="H13" s="1411"/>
      <c r="I13" s="186" t="s">
        <v>158</v>
      </c>
      <c r="J13" s="188">
        <v>84775</v>
      </c>
      <c r="K13" s="186" t="s">
        <v>2620</v>
      </c>
    </row>
    <row r="14" spans="1:11" ht="15.75" x14ac:dyDescent="0.25">
      <c r="A14" s="1411" t="s">
        <v>2621</v>
      </c>
      <c r="B14" s="1411"/>
      <c r="C14" s="1411"/>
      <c r="D14" s="1411"/>
      <c r="E14" s="1411"/>
      <c r="F14" s="1411"/>
      <c r="G14" s="1411"/>
      <c r="H14" s="141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3" t="s">
        <v>2625</v>
      </c>
      <c r="B17" s="1413"/>
      <c r="C17" s="1413"/>
      <c r="D17" s="1413"/>
      <c r="E17" s="1413"/>
      <c r="F17" s="1413"/>
      <c r="G17" s="1413"/>
      <c r="H17" s="1413"/>
      <c r="I17" s="1413"/>
      <c r="J17" s="1413"/>
      <c r="K17" s="1413"/>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0">
        <v>91625888</v>
      </c>
      <c r="B19" s="1410">
        <v>130688607</v>
      </c>
      <c r="C19" s="1410">
        <f>B19-A19</f>
        <v>39062719</v>
      </c>
      <c r="D19" s="1410">
        <v>7500000</v>
      </c>
      <c r="E19" s="225"/>
      <c r="F19" s="225"/>
      <c r="G19" s="225"/>
      <c r="H19" s="1410">
        <f>C19</f>
        <v>39062719</v>
      </c>
      <c r="I19" s="1410">
        <f>H19*25%</f>
        <v>9765679.75</v>
      </c>
      <c r="J19" s="1410">
        <f>H19*25%</f>
        <v>9765679.75</v>
      </c>
      <c r="K19" s="1410">
        <f>H19*50%</f>
        <v>19531359.5</v>
      </c>
    </row>
    <row r="20" spans="1:11" ht="12.75" customHeight="1" x14ac:dyDescent="0.25">
      <c r="A20" s="1410"/>
      <c r="B20" s="1410"/>
      <c r="C20" s="1410"/>
      <c r="D20" s="1410"/>
      <c r="E20" s="225"/>
      <c r="F20" s="225"/>
      <c r="G20" s="225"/>
      <c r="H20" s="1410"/>
      <c r="I20" s="1410"/>
      <c r="J20" s="1410"/>
      <c r="K20" s="1410"/>
    </row>
    <row r="21" spans="1:11" ht="15.75" x14ac:dyDescent="0.25">
      <c r="A21" s="1411" t="s">
        <v>2624</v>
      </c>
      <c r="B21" s="1411"/>
      <c r="C21" s="1411"/>
      <c r="D21" s="1411"/>
      <c r="E21" s="1411"/>
      <c r="F21" s="1411"/>
      <c r="G21" s="1411"/>
      <c r="H21" s="1411"/>
      <c r="I21" s="188">
        <v>13000000</v>
      </c>
      <c r="J21" s="186"/>
      <c r="K21" s="186"/>
    </row>
    <row r="22" spans="1:11" ht="15.75" x14ac:dyDescent="0.25">
      <c r="A22" s="1411" t="s">
        <v>2621</v>
      </c>
      <c r="B22" s="1411"/>
      <c r="C22" s="1411"/>
      <c r="D22" s="1411"/>
      <c r="E22" s="1411"/>
      <c r="F22" s="1411"/>
      <c r="G22" s="1411"/>
      <c r="H22" s="141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1" t="s">
        <v>2635</v>
      </c>
      <c r="B36" s="1401"/>
      <c r="C36" s="1401"/>
      <c r="D36" s="1401"/>
      <c r="E36" s="1401"/>
      <c r="F36" s="1401"/>
      <c r="G36" s="1401"/>
      <c r="H36" s="1401"/>
      <c r="I36" s="1401"/>
      <c r="J36" s="1401"/>
      <c r="K36" s="140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06">
        <f>'Main Summary'!$AK$73</f>
        <v>31688154.002880182</v>
      </c>
      <c r="B38" s="1406">
        <f>'Main Summary'!$AL$73</f>
        <v>37164776</v>
      </c>
      <c r="C38" s="1406">
        <f>B38-A38</f>
        <v>5476621.9971198179</v>
      </c>
      <c r="D38" s="1406">
        <v>6000000</v>
      </c>
      <c r="E38" s="1408"/>
      <c r="F38" s="1408"/>
      <c r="G38" s="1406">
        <v>300000</v>
      </c>
      <c r="H38" s="1406">
        <f>C38-D38-G38</f>
        <v>-823378.00288018212</v>
      </c>
      <c r="I38" s="1406">
        <f>H38*33%</f>
        <v>-271714.74095046014</v>
      </c>
      <c r="J38" s="1406">
        <f>H38*33%</f>
        <v>-271714.74095046014</v>
      </c>
      <c r="K38" s="1406">
        <f>H38*34%</f>
        <v>-279948.52097926196</v>
      </c>
    </row>
    <row r="39" spans="1:13" ht="16.899999999999999" customHeight="1" x14ac:dyDescent="0.25">
      <c r="A39" s="1406"/>
      <c r="B39" s="1406"/>
      <c r="C39" s="1406"/>
      <c r="D39" s="1406"/>
      <c r="E39" s="1409"/>
      <c r="F39" s="1409"/>
      <c r="G39" s="1406"/>
      <c r="H39" s="1406"/>
      <c r="I39" s="1406"/>
      <c r="J39" s="1406"/>
      <c r="K39" s="1406"/>
    </row>
    <row r="40" spans="1:13" ht="16.5" x14ac:dyDescent="0.25">
      <c r="A40" s="1407" t="s">
        <v>2636</v>
      </c>
      <c r="B40" s="1407"/>
      <c r="C40" s="1407"/>
      <c r="D40" s="1407"/>
      <c r="E40" s="1407"/>
      <c r="F40" s="1407"/>
      <c r="G40" s="1407"/>
      <c r="H40" s="1407"/>
      <c r="I40" s="231">
        <v>3234320</v>
      </c>
      <c r="J40" s="231"/>
      <c r="K40" s="231"/>
    </row>
    <row r="41" spans="1:13" ht="16.5" x14ac:dyDescent="0.25">
      <c r="A41" s="1407" t="s">
        <v>2864</v>
      </c>
      <c r="B41" s="1407"/>
      <c r="C41" s="1407"/>
      <c r="D41" s="1407"/>
      <c r="E41" s="1407"/>
      <c r="F41" s="1407"/>
      <c r="G41" s="1407"/>
      <c r="H41" s="1407"/>
      <c r="I41" s="231"/>
      <c r="J41" s="231">
        <v>1676486</v>
      </c>
      <c r="K41" s="231">
        <v>6090000</v>
      </c>
    </row>
    <row r="42" spans="1:13" ht="16.5" x14ac:dyDescent="0.25">
      <c r="A42" s="1407" t="s">
        <v>2637</v>
      </c>
      <c r="B42" s="1407"/>
      <c r="C42" s="1407"/>
      <c r="D42" s="1407"/>
      <c r="E42" s="1407"/>
      <c r="F42" s="1407"/>
      <c r="G42" s="1407"/>
      <c r="H42" s="1407"/>
      <c r="I42" s="231">
        <v>1568356</v>
      </c>
      <c r="J42" s="231"/>
      <c r="K42" s="231"/>
    </row>
    <row r="43" spans="1:13" ht="16.5" x14ac:dyDescent="0.25">
      <c r="A43" s="1405" t="s">
        <v>2638</v>
      </c>
      <c r="B43" s="1405"/>
      <c r="C43" s="1405"/>
      <c r="D43" s="1405"/>
      <c r="E43" s="1405"/>
      <c r="F43" s="1405"/>
      <c r="G43" s="1405"/>
      <c r="H43" s="140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2" t="s">
        <v>2773</v>
      </c>
      <c r="B45" s="1412"/>
      <c r="C45" s="1412"/>
      <c r="D45" s="1412"/>
      <c r="E45" s="1412"/>
      <c r="F45" s="1412"/>
      <c r="G45" s="1412"/>
      <c r="H45" s="141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1" t="s">
        <v>3293</v>
      </c>
      <c r="B49" s="1401"/>
      <c r="C49" s="1401"/>
      <c r="D49" s="1401"/>
      <c r="E49" s="1401"/>
      <c r="F49" s="1401"/>
      <c r="G49" s="1401"/>
      <c r="H49" s="1401"/>
      <c r="I49" s="1401"/>
      <c r="J49" s="1401"/>
      <c r="K49" s="140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2">
        <f>'Main Summary'!AD19</f>
        <v>113012540.90419273</v>
      </c>
      <c r="B51" s="1402">
        <f>'Main Summary'!AE19</f>
        <v>164353252</v>
      </c>
      <c r="C51" s="1402">
        <f>B51-A51</f>
        <v>51340711.095807269</v>
      </c>
      <c r="D51" s="1402">
        <v>7000000</v>
      </c>
      <c r="E51" s="1403">
        <f>15000000+6000000</f>
        <v>21000000</v>
      </c>
      <c r="F51" s="344"/>
      <c r="G51" s="1402">
        <v>500000</v>
      </c>
      <c r="H51" s="1402">
        <f>C51-D51-G51-E51</f>
        <v>22840711.095807269</v>
      </c>
      <c r="I51" s="1402">
        <f>H51*33%</f>
        <v>7537434.661616399</v>
      </c>
      <c r="J51" s="1402">
        <f>H51*33%</f>
        <v>7537434.661616399</v>
      </c>
      <c r="K51" s="1402">
        <f>H51*34%</f>
        <v>7765841.7725744722</v>
      </c>
    </row>
    <row r="52" spans="1:13" ht="16.899999999999999" customHeight="1" x14ac:dyDescent="0.25">
      <c r="A52" s="1402"/>
      <c r="B52" s="1402"/>
      <c r="C52" s="1402"/>
      <c r="D52" s="1402"/>
      <c r="E52" s="1404"/>
      <c r="F52" s="345"/>
      <c r="G52" s="1402"/>
      <c r="H52" s="1402"/>
      <c r="I52" s="1402"/>
      <c r="J52" s="1402"/>
      <c r="K52" s="1402"/>
    </row>
    <row r="53" spans="1:13" ht="15.75" x14ac:dyDescent="0.25">
      <c r="A53" s="1398" t="s">
        <v>2636</v>
      </c>
      <c r="B53" s="1398"/>
      <c r="C53" s="1398"/>
      <c r="D53" s="1398"/>
      <c r="E53" s="1398"/>
      <c r="F53" s="1398"/>
      <c r="G53" s="1398"/>
      <c r="H53" s="1398"/>
      <c r="I53" s="225"/>
      <c r="J53" s="225"/>
      <c r="K53" s="225"/>
      <c r="M53" s="1">
        <v>1682985</v>
      </c>
    </row>
    <row r="54" spans="1:13" ht="15.75" x14ac:dyDescent="0.25">
      <c r="A54" s="1398" t="s">
        <v>2864</v>
      </c>
      <c r="B54" s="1398"/>
      <c r="C54" s="1398"/>
      <c r="D54" s="1398"/>
      <c r="E54" s="1398"/>
      <c r="F54" s="1398"/>
      <c r="G54" s="1398"/>
      <c r="H54" s="1398"/>
      <c r="I54" s="225">
        <f>450000+3000000+1300000+200000+6000000</f>
        <v>10950000</v>
      </c>
      <c r="J54" s="225">
        <f>3800000+300000+1500000+89000+1000000+1300000</f>
        <v>7989000</v>
      </c>
      <c r="K54" s="225">
        <f>150000+500000+500000+5000000</f>
        <v>6150000</v>
      </c>
      <c r="M54" s="1">
        <v>26656</v>
      </c>
    </row>
    <row r="55" spans="1:13" ht="15.75" x14ac:dyDescent="0.25">
      <c r="A55" s="1398" t="s">
        <v>4274</v>
      </c>
      <c r="B55" s="1398"/>
      <c r="C55" s="1398"/>
      <c r="D55" s="1398"/>
      <c r="E55" s="1398"/>
      <c r="F55" s="1398"/>
      <c r="G55" s="1398"/>
      <c r="H55" s="1398"/>
      <c r="I55" s="225"/>
      <c r="J55" s="225">
        <v>493250</v>
      </c>
      <c r="K55" s="225"/>
      <c r="M55" s="1">
        <v>7143</v>
      </c>
    </row>
    <row r="56" spans="1:13" ht="15.75" x14ac:dyDescent="0.25">
      <c r="A56" s="1399" t="s">
        <v>2638</v>
      </c>
      <c r="B56" s="1399"/>
      <c r="C56" s="1399"/>
      <c r="D56" s="1399"/>
      <c r="E56" s="1399"/>
      <c r="F56" s="1399"/>
      <c r="G56" s="1399"/>
      <c r="H56" s="1399"/>
      <c r="I56" s="263">
        <f>I51-I53-I54-I55</f>
        <v>-3412565.338383601</v>
      </c>
      <c r="J56" s="263">
        <f>J51+J55-J54</f>
        <v>41684.661616398953</v>
      </c>
      <c r="K56" s="263">
        <f>K51-K53-K54-K55</f>
        <v>1615841.7725744722</v>
      </c>
      <c r="M56" s="1">
        <v>7257</v>
      </c>
    </row>
    <row r="57" spans="1:13" ht="15.75" x14ac:dyDescent="0.25">
      <c r="A57" s="1400" t="s">
        <v>2773</v>
      </c>
      <c r="B57" s="1400"/>
      <c r="C57" s="1400"/>
      <c r="D57" s="1400"/>
      <c r="E57" s="1400"/>
      <c r="F57" s="1400"/>
      <c r="G57" s="1400"/>
      <c r="H57" s="140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1" t="s">
        <v>3669</v>
      </c>
      <c r="B61" s="1401"/>
      <c r="C61" s="1401"/>
      <c r="D61" s="1401"/>
      <c r="E61" s="1401"/>
      <c r="F61" s="1401"/>
      <c r="G61" s="1401"/>
      <c r="H61" s="1401"/>
      <c r="I61" s="1401"/>
      <c r="J61" s="1401"/>
      <c r="K61" s="140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2">
        <f>'Main Summary'!Z19</f>
        <v>138622950.11069509</v>
      </c>
      <c r="B63" s="1402">
        <f>'Main Summary'!AA19</f>
        <v>174948764</v>
      </c>
      <c r="C63" s="1402">
        <f>B63-A63</f>
        <v>36325813.889304906</v>
      </c>
      <c r="D63" s="1402">
        <v>2000000</v>
      </c>
      <c r="E63" s="1403">
        <v>4500000</v>
      </c>
      <c r="F63" s="1403">
        <v>889800</v>
      </c>
      <c r="G63" s="1402">
        <v>500000</v>
      </c>
      <c r="H63" s="1402">
        <f>C63-D63-G63-E63-F63</f>
        <v>28436013.889304906</v>
      </c>
      <c r="I63" s="1402">
        <f>H63*33%</f>
        <v>9383884.5834706202</v>
      </c>
      <c r="J63" s="1402">
        <f>H63*33%</f>
        <v>9383884.5834706202</v>
      </c>
      <c r="K63" s="1402">
        <f>H63*34%</f>
        <v>9668244.7223636694</v>
      </c>
    </row>
    <row r="64" spans="1:13" ht="15" customHeight="1" x14ac:dyDescent="0.25">
      <c r="A64" s="1402"/>
      <c r="B64" s="1402"/>
      <c r="C64" s="1402"/>
      <c r="D64" s="1402"/>
      <c r="E64" s="1404"/>
      <c r="F64" s="1404"/>
      <c r="G64" s="1402"/>
      <c r="H64" s="1402"/>
      <c r="I64" s="1402"/>
      <c r="J64" s="1402"/>
      <c r="K64" s="1402"/>
    </row>
    <row r="65" spans="1:18" ht="27" customHeight="1" x14ac:dyDescent="0.25">
      <c r="A65" s="1398" t="s">
        <v>2864</v>
      </c>
      <c r="B65" s="1398"/>
      <c r="C65" s="1398"/>
      <c r="D65" s="1398"/>
      <c r="E65" s="1398"/>
      <c r="F65" s="1398"/>
      <c r="G65" s="1398"/>
      <c r="H65" s="1398"/>
      <c r="I65" s="225">
        <f>'old Sharing details'!H30</f>
        <v>20909127</v>
      </c>
      <c r="J65" s="225">
        <f>'old Sharing details'!H65</f>
        <v>20630910</v>
      </c>
      <c r="K65" s="225">
        <f>'old Sharing details'!D125</f>
        <v>17742859</v>
      </c>
    </row>
    <row r="66" spans="1:18" ht="27" customHeight="1" x14ac:dyDescent="0.25">
      <c r="A66" s="1399" t="s">
        <v>2638</v>
      </c>
      <c r="B66" s="1399"/>
      <c r="C66" s="1399"/>
      <c r="D66" s="1399"/>
      <c r="E66" s="1399"/>
      <c r="F66" s="1399"/>
      <c r="G66" s="1399"/>
      <c r="H66" s="1399"/>
      <c r="I66" s="263">
        <f>I63-I65</f>
        <v>-11525242.41652938</v>
      </c>
      <c r="J66" s="263">
        <f t="shared" ref="J66:K66" si="0">J63-J65</f>
        <v>-11247025.41652938</v>
      </c>
      <c r="K66" s="263">
        <f t="shared" si="0"/>
        <v>-8074614.2776363306</v>
      </c>
    </row>
    <row r="67" spans="1:18" ht="15.75" x14ac:dyDescent="0.25">
      <c r="A67" s="1400" t="s">
        <v>2773</v>
      </c>
      <c r="B67" s="1400"/>
      <c r="C67" s="1400"/>
      <c r="D67" s="1400"/>
      <c r="E67" s="1400"/>
      <c r="F67" s="1400"/>
      <c r="G67" s="1400"/>
      <c r="H67" s="140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97" t="s">
        <v>5163</v>
      </c>
      <c r="B69" s="1397"/>
      <c r="C69" s="1397"/>
      <c r="D69" s="1397"/>
      <c r="E69" s="283">
        <v>3118282</v>
      </c>
      <c r="M69"/>
      <c r="N69" s="1">
        <v>4629646</v>
      </c>
      <c r="O69" s="1">
        <v>7330193</v>
      </c>
      <c r="P69" s="1">
        <v>1850440</v>
      </c>
      <c r="R69" s="1"/>
    </row>
    <row r="70" spans="1:18" x14ac:dyDescent="0.25">
      <c r="A70" s="1397" t="s">
        <v>5161</v>
      </c>
      <c r="B70" s="1397"/>
      <c r="C70" s="1397"/>
      <c r="D70" s="1397"/>
      <c r="E70" s="15">
        <v>1000000</v>
      </c>
      <c r="M70"/>
      <c r="N70" s="3"/>
      <c r="R70" s="1"/>
    </row>
    <row r="71" spans="1:18" ht="26.25" x14ac:dyDescent="0.25">
      <c r="A71" s="1397" t="s">
        <v>5162</v>
      </c>
      <c r="B71" s="1397"/>
      <c r="C71" s="1397"/>
      <c r="D71" s="139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14" t="s">
        <v>4711</v>
      </c>
      <c r="O73" s="1414"/>
      <c r="P73" s="1414"/>
    </row>
    <row r="74" spans="1:18" x14ac:dyDescent="0.25">
      <c r="A74">
        <f>139220029+2000000</f>
        <v>141220029</v>
      </c>
      <c r="B74" s="3">
        <f>B63-A74</f>
        <v>33728735</v>
      </c>
      <c r="M74"/>
      <c r="N74" s="1414"/>
      <c r="O74" s="1414"/>
      <c r="P74" s="141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5" t="s">
        <v>1766</v>
      </c>
      <c r="D1" s="1185"/>
      <c r="E1" s="1185"/>
    </row>
    <row r="2" spans="1:8" x14ac:dyDescent="0.25">
      <c r="C2" s="1185"/>
      <c r="D2" s="1185"/>
      <c r="E2" s="1185"/>
    </row>
    <row r="3" spans="1:8" x14ac:dyDescent="0.25">
      <c r="C3" s="1352" t="s">
        <v>4712</v>
      </c>
      <c r="D3" s="1352"/>
      <c r="E3" s="1352"/>
    </row>
    <row r="4" spans="1:8" x14ac:dyDescent="0.25">
      <c r="C4" s="1352"/>
      <c r="D4" s="1352"/>
      <c r="E4" s="1352"/>
    </row>
    <row r="6" spans="1:8" ht="14.45" customHeight="1" x14ac:dyDescent="0.25">
      <c r="A6" s="1429" t="s">
        <v>1893</v>
      </c>
      <c r="B6" s="1430"/>
      <c r="C6" s="1430"/>
      <c r="D6" s="1431"/>
      <c r="E6" s="1438" t="s">
        <v>4750</v>
      </c>
      <c r="F6" s="1438"/>
      <c r="G6" s="1438"/>
      <c r="H6" s="1438"/>
    </row>
    <row r="7" spans="1:8" ht="14.45" customHeight="1" x14ac:dyDescent="0.25">
      <c r="A7" s="1432"/>
      <c r="B7" s="1433"/>
      <c r="C7" s="1433"/>
      <c r="D7" s="1434"/>
      <c r="E7" s="1438"/>
      <c r="F7" s="1438"/>
      <c r="G7" s="1438"/>
      <c r="H7" s="1438"/>
    </row>
    <row r="8" spans="1:8" ht="14.45" customHeight="1" x14ac:dyDescent="0.25">
      <c r="A8" s="1435"/>
      <c r="B8" s="1436"/>
      <c r="C8" s="1436"/>
      <c r="D8" s="1437"/>
      <c r="E8" s="1438"/>
      <c r="F8" s="1438"/>
      <c r="G8" s="1438"/>
      <c r="H8" s="1438"/>
    </row>
    <row r="9" spans="1:8" ht="27" thickBot="1" x14ac:dyDescent="0.3">
      <c r="A9" s="1329" t="s">
        <v>4589</v>
      </c>
      <c r="B9" s="1330"/>
      <c r="C9" s="1330"/>
      <c r="D9" s="1331"/>
      <c r="E9" s="1332" t="s">
        <v>4589</v>
      </c>
      <c r="F9" s="1333"/>
      <c r="G9" s="1333"/>
      <c r="H9" s="133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36" t="s">
        <v>4595</v>
      </c>
      <c r="F30" s="1336"/>
      <c r="G30" s="133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28" t="s">
        <v>4747</v>
      </c>
      <c r="F37" s="1333"/>
      <c r="G37" s="1333"/>
      <c r="H37" s="133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5" t="s">
        <v>4595</v>
      </c>
      <c r="B54" s="1335"/>
      <c r="C54" s="133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18" t="s">
        <v>4599</v>
      </c>
      <c r="B58" s="1419"/>
      <c r="C58" s="1419"/>
      <c r="D58" s="141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5" t="s">
        <v>4595</v>
      </c>
      <c r="F65" s="1335"/>
      <c r="G65" s="133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4" t="s">
        <v>4744</v>
      </c>
      <c r="F73" s="1424"/>
      <c r="G73" s="1424"/>
      <c r="H73" s="142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5" t="s">
        <v>4595</v>
      </c>
      <c r="F87" s="1426"/>
      <c r="G87" s="142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20" t="s">
        <v>4595</v>
      </c>
      <c r="B102" s="1367"/>
      <c r="C102" s="1368"/>
      <c r="D102" s="313">
        <f>SUM(D60:D101)</f>
        <v>8325000</v>
      </c>
    </row>
    <row r="104" spans="1:4" ht="15.75" thickBot="1" x14ac:dyDescent="0.3">
      <c r="D104" s="49"/>
    </row>
    <row r="105" spans="1:4" ht="21.75" thickBot="1" x14ac:dyDescent="0.3">
      <c r="A105" s="1421" t="s">
        <v>4596</v>
      </c>
      <c r="B105" s="1422"/>
      <c r="C105" s="1422"/>
      <c r="D105" s="142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66" t="s">
        <v>4595</v>
      </c>
      <c r="B124" s="1367"/>
      <c r="C124" s="1368"/>
      <c r="D124" s="320">
        <f>SUM(D107:D123)</f>
        <v>3665720</v>
      </c>
    </row>
    <row r="125" spans="1:4" ht="19.5" thickBot="1" x14ac:dyDescent="0.35">
      <c r="A125" s="1415" t="s">
        <v>4616</v>
      </c>
      <c r="B125" s="1416"/>
      <c r="C125" s="1417"/>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2025-02-13T10:19:28Z</cp:lastPrinted>
  <dcterms:created xsi:type="dcterms:W3CDTF">2016-01-21T08:10:35Z</dcterms:created>
  <dcterms:modified xsi:type="dcterms:W3CDTF">2025-02-15T13:05:36Z</dcterms:modified>
</cp:coreProperties>
</file>