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PES\Office salaries\"/>
    </mc:Choice>
  </mc:AlternateContent>
  <xr:revisionPtr revIDLastSave="0" documentId="13_ncr:1_{B38CB199-13E8-428F-8DFA-5CFE77C1F4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ary Sheets" sheetId="1" r:id="rId1"/>
    <sheet name="Salary Record" sheetId="2" r:id="rId2"/>
    <sheet name="Staff Attendance" sheetId="5" r:id="rId3"/>
    <sheet name="Salary summary" sheetId="3" r:id="rId4"/>
    <sheet name="Salary increment" sheetId="4" r:id="rId5"/>
    <sheet name="Sheet1" sheetId="6" r:id="rId6"/>
  </sheets>
  <definedNames>
    <definedName name="_xlnm._FilterDatabase" localSheetId="4" hidden="1">'Salary increment'!$B$3:$F$3</definedName>
    <definedName name="_xlnm._FilterDatabase" localSheetId="0" hidden="1">'Salary Sheets'!$A$3:$X$127</definedName>
    <definedName name="_xlnm.Print_Area" localSheetId="1">'Salary Record'!$A$142:$L$155</definedName>
    <definedName name="_xlnm.Print_Area" localSheetId="0">'Salary Sheets'!$A$1:$Q$103</definedName>
  </definedNames>
  <calcPr calcId="181029"/>
  <extLst>
    <ext uri="GoogleSheetsCustomDataVersion2">
      <go:sheetsCustomData xmlns:go="http://customooxmlschemas.google.com/" r:id="rId8" roundtripDataChecksum="du1CJkfQSf7WgjIw8u8WMdJ5ZZLFxjX0JgPF1VtAdIA="/>
    </ext>
  </extLst>
</workbook>
</file>

<file path=xl/calcChain.xml><?xml version="1.0" encoding="utf-8"?>
<calcChain xmlns="http://schemas.openxmlformats.org/spreadsheetml/2006/main">
  <c r="W983" i="2" l="1"/>
  <c r="W981" i="2"/>
  <c r="Y981" i="2" s="1"/>
  <c r="U982" i="2" s="1"/>
  <c r="W982" i="2" s="1"/>
  <c r="Y982" i="2" s="1"/>
  <c r="U983" i="2" s="1"/>
  <c r="Y983" i="2" s="1"/>
  <c r="U981" i="2"/>
  <c r="I327" i="2" l="1"/>
  <c r="R649" i="2"/>
  <c r="I328" i="2"/>
  <c r="K750" i="2"/>
  <c r="F87" i="4"/>
  <c r="K383" i="2"/>
  <c r="K368" i="2"/>
  <c r="K720" i="2"/>
  <c r="K353" i="2"/>
  <c r="K338" i="2"/>
  <c r="F88" i="4"/>
  <c r="F86" i="4"/>
  <c r="F85" i="4"/>
  <c r="F84" i="4"/>
  <c r="F83" i="4"/>
  <c r="F82" i="4"/>
  <c r="K911" i="2" l="1"/>
  <c r="C838" i="2" l="1"/>
  <c r="C837" i="2"/>
  <c r="I835" i="2" s="1"/>
  <c r="V241" i="2" l="1"/>
  <c r="V587" i="2" l="1"/>
  <c r="V152" i="2"/>
  <c r="T37" i="5" l="1"/>
  <c r="Q35" i="5"/>
  <c r="Q15" i="5"/>
  <c r="W1085" i="2"/>
  <c r="Y1085" i="2" s="1"/>
  <c r="R1085" i="2"/>
  <c r="W1084" i="2"/>
  <c r="Y1084" i="2" s="1"/>
  <c r="R1084" i="2"/>
  <c r="W1083" i="2"/>
  <c r="Y1083" i="2" s="1"/>
  <c r="R1083" i="2"/>
  <c r="C1033" i="2" l="1"/>
  <c r="C1032" i="2"/>
  <c r="R107" i="2"/>
  <c r="G43" i="5"/>
  <c r="K41" i="5"/>
  <c r="K43" i="5" s="1"/>
  <c r="C41" i="5"/>
  <c r="C43" i="5" s="1"/>
  <c r="AE40" i="5"/>
  <c r="AA40" i="5"/>
  <c r="W40" i="5"/>
  <c r="S40" i="5"/>
  <c r="O40" i="5"/>
  <c r="K40" i="5"/>
  <c r="G40" i="5"/>
  <c r="C40" i="5"/>
  <c r="AF37" i="5"/>
  <c r="AE41" i="5" s="1"/>
  <c r="AE43" i="5" s="1"/>
  <c r="AB37" i="5"/>
  <c r="AA41" i="5" s="1"/>
  <c r="AA43" i="5" s="1"/>
  <c r="X37" i="5"/>
  <c r="W41" i="5" s="1"/>
  <c r="W43" i="5" s="1"/>
  <c r="S41" i="5"/>
  <c r="S43" i="5" s="1"/>
  <c r="P37" i="5"/>
  <c r="O41" i="5" s="1"/>
  <c r="O43" i="5" s="1"/>
  <c r="L37" i="5"/>
  <c r="H37" i="5"/>
  <c r="AG36" i="5"/>
  <c r="AC36" i="5"/>
  <c r="Y36" i="5"/>
  <c r="U36" i="5"/>
  <c r="Q36" i="5"/>
  <c r="M36" i="5"/>
  <c r="I36" i="5"/>
  <c r="E36" i="5"/>
  <c r="AG34" i="5"/>
  <c r="AC34" i="5"/>
  <c r="U34" i="5"/>
  <c r="Q34" i="5"/>
  <c r="M34" i="5"/>
  <c r="I34" i="5"/>
  <c r="E34" i="5"/>
  <c r="AG33" i="5"/>
  <c r="AC33" i="5"/>
  <c r="Y33" i="5"/>
  <c r="U33" i="5"/>
  <c r="Q33" i="5"/>
  <c r="M33" i="5"/>
  <c r="I33" i="5"/>
  <c r="E33" i="5"/>
  <c r="AG32" i="5"/>
  <c r="AC32" i="5"/>
  <c r="Y32" i="5"/>
  <c r="U32" i="5"/>
  <c r="Q32" i="5"/>
  <c r="M32" i="5"/>
  <c r="I32" i="5"/>
  <c r="E32" i="5"/>
  <c r="AG31" i="5"/>
  <c r="AC31" i="5"/>
  <c r="Y31" i="5"/>
  <c r="U31" i="5"/>
  <c r="Q31" i="5"/>
  <c r="M31" i="5"/>
  <c r="I31" i="5"/>
  <c r="E31" i="5"/>
  <c r="AG30" i="5"/>
  <c r="AC30" i="5"/>
  <c r="Y30" i="5"/>
  <c r="U30" i="5"/>
  <c r="Q30" i="5"/>
  <c r="M30" i="5"/>
  <c r="I30" i="5"/>
  <c r="E30" i="5"/>
  <c r="AG29" i="5"/>
  <c r="AC29" i="5"/>
  <c r="Y29" i="5"/>
  <c r="U29" i="5"/>
  <c r="Q29" i="5"/>
  <c r="M29" i="5"/>
  <c r="I29" i="5"/>
  <c r="E29" i="5"/>
  <c r="AG27" i="5"/>
  <c r="AC27" i="5"/>
  <c r="Y27" i="5"/>
  <c r="U27" i="5"/>
  <c r="Q27" i="5"/>
  <c r="M27" i="5"/>
  <c r="I27" i="5"/>
  <c r="E27" i="5"/>
  <c r="AG26" i="5"/>
  <c r="AC26" i="5"/>
  <c r="Y26" i="5"/>
  <c r="U26" i="5"/>
  <c r="Q26" i="5"/>
  <c r="M26" i="5"/>
  <c r="I26" i="5"/>
  <c r="E26" i="5"/>
  <c r="AG25" i="5"/>
  <c r="AC25" i="5"/>
  <c r="Y25" i="5"/>
  <c r="Q25" i="5"/>
  <c r="M25" i="5"/>
  <c r="I25" i="5"/>
  <c r="E25" i="5"/>
  <c r="AG24" i="5"/>
  <c r="Y24" i="5"/>
  <c r="Q24" i="5"/>
  <c r="M24" i="5"/>
  <c r="I24" i="5"/>
  <c r="E24" i="5"/>
  <c r="AG22" i="5"/>
  <c r="Y22" i="5"/>
  <c r="U22" i="5"/>
  <c r="M22" i="5"/>
  <c r="I22" i="5"/>
  <c r="E22" i="5"/>
  <c r="AG20" i="5"/>
  <c r="AC20" i="5"/>
  <c r="Y20" i="5"/>
  <c r="Q20" i="5"/>
  <c r="M20" i="5"/>
  <c r="I20" i="5"/>
  <c r="AG19" i="5"/>
  <c r="AC19" i="5"/>
  <c r="Y19" i="5"/>
  <c r="U19" i="5"/>
  <c r="Q19" i="5"/>
  <c r="M19" i="5"/>
  <c r="I19" i="5"/>
  <c r="AG18" i="5"/>
  <c r="AC18" i="5"/>
  <c r="Y18" i="5"/>
  <c r="U18" i="5"/>
  <c r="Q18" i="5"/>
  <c r="M18" i="5"/>
  <c r="I18" i="5"/>
  <c r="E18" i="5"/>
  <c r="AG17" i="5"/>
  <c r="Y17" i="5"/>
  <c r="U17" i="5"/>
  <c r="Q17" i="5"/>
  <c r="M17" i="5"/>
  <c r="I17" i="5"/>
  <c r="E17" i="5"/>
  <c r="AG16" i="5"/>
  <c r="AC16" i="5"/>
  <c r="U16" i="5"/>
  <c r="Q16" i="5"/>
  <c r="M16" i="5"/>
  <c r="I16" i="5"/>
  <c r="E16" i="5"/>
  <c r="AG15" i="5"/>
  <c r="AC15" i="5"/>
  <c r="U15" i="5"/>
  <c r="M15" i="5"/>
  <c r="I15" i="5"/>
  <c r="E15" i="5"/>
  <c r="AG13" i="5"/>
  <c r="AC13" i="5"/>
  <c r="Y13" i="5"/>
  <c r="U13" i="5"/>
  <c r="Q13" i="5"/>
  <c r="M13" i="5"/>
  <c r="I13" i="5"/>
  <c r="E13" i="5"/>
  <c r="AG12" i="5"/>
  <c r="AC12" i="5"/>
  <c r="Y12" i="5"/>
  <c r="U12" i="5"/>
  <c r="Q12" i="5"/>
  <c r="M12" i="5"/>
  <c r="I12" i="5"/>
  <c r="E12" i="5"/>
  <c r="AG11" i="5"/>
  <c r="AC11" i="5"/>
  <c r="Y11" i="5"/>
  <c r="U11" i="5"/>
  <c r="Q11" i="5"/>
  <c r="M11" i="5"/>
  <c r="I11" i="5"/>
  <c r="E11" i="5"/>
  <c r="AG10" i="5"/>
  <c r="AC10" i="5"/>
  <c r="Y10" i="5"/>
  <c r="U10" i="5"/>
  <c r="M10" i="5"/>
  <c r="I10" i="5"/>
  <c r="E10" i="5"/>
  <c r="AG9" i="5"/>
  <c r="AC9" i="5"/>
  <c r="Y9" i="5"/>
  <c r="U9" i="5"/>
  <c r="M9" i="5"/>
  <c r="I9" i="5"/>
  <c r="E9" i="5"/>
  <c r="AG8" i="5"/>
  <c r="AC8" i="5"/>
  <c r="Y8" i="5"/>
  <c r="U8" i="5"/>
  <c r="M8" i="5"/>
  <c r="I8" i="5"/>
  <c r="E8" i="5"/>
  <c r="Q37" i="5" l="1"/>
  <c r="AG37" i="5"/>
  <c r="I37" i="5"/>
  <c r="U37" i="5"/>
  <c r="Y37" i="5"/>
  <c r="E37" i="5"/>
  <c r="M37" i="5"/>
  <c r="AC37" i="5"/>
  <c r="G586" i="2"/>
  <c r="K586" i="2" s="1"/>
  <c r="C649" i="2"/>
  <c r="I645" i="2" s="1"/>
  <c r="C901" i="2"/>
  <c r="F87" i="1" s="1"/>
  <c r="Q11" i="1"/>
  <c r="G13" i="6"/>
  <c r="K932" i="2"/>
  <c r="J89" i="1" s="1"/>
  <c r="C679" i="2"/>
  <c r="C917" i="2"/>
  <c r="F88" i="1" s="1"/>
  <c r="G648" i="2"/>
  <c r="K648" i="2" s="1"/>
  <c r="G466" i="2"/>
  <c r="K466" i="2" s="1"/>
  <c r="C451" i="2"/>
  <c r="G27" i="1" s="1"/>
  <c r="G742" i="2"/>
  <c r="K742" i="2" s="1"/>
  <c r="G226" i="2"/>
  <c r="C966" i="2"/>
  <c r="G93" i="1" s="1"/>
  <c r="K595" i="2"/>
  <c r="F81" i="4"/>
  <c r="F80" i="4"/>
  <c r="K735" i="2"/>
  <c r="K740" i="2" s="1"/>
  <c r="J68" i="1" s="1"/>
  <c r="K1079" i="2"/>
  <c r="J92" i="1" s="1"/>
  <c r="C1080" i="2"/>
  <c r="F92" i="1" s="1"/>
  <c r="H92" i="1"/>
  <c r="E92" i="1"/>
  <c r="B92" i="1"/>
  <c r="W1074" i="2"/>
  <c r="Y1074" i="2" s="1"/>
  <c r="U1075" i="2" s="1"/>
  <c r="W1075" i="2" s="1"/>
  <c r="Y1075" i="2" s="1"/>
  <c r="U1076" i="2" s="1"/>
  <c r="W1076" i="2" s="1"/>
  <c r="Y1076" i="2" s="1"/>
  <c r="U1077" i="2" s="1"/>
  <c r="W1077" i="2" s="1"/>
  <c r="Y1077" i="2" s="1"/>
  <c r="U1078" i="2" s="1"/>
  <c r="W1078" i="2" s="1"/>
  <c r="Y1078" i="2" s="1"/>
  <c r="U1079" i="2" s="1"/>
  <c r="W1079" i="2" s="1"/>
  <c r="Y1079" i="2" s="1"/>
  <c r="U1080" i="2" s="1"/>
  <c r="W1080" i="2" s="1"/>
  <c r="Y1080" i="2" s="1"/>
  <c r="U1081" i="2" s="1"/>
  <c r="W1081" i="2" s="1"/>
  <c r="Y1081" i="2" s="1"/>
  <c r="U1082" i="2" s="1"/>
  <c r="R1075" i="2"/>
  <c r="R1076" i="2" s="1"/>
  <c r="R1077" i="2" s="1"/>
  <c r="R1078" i="2" s="1"/>
  <c r="R1079" i="2"/>
  <c r="R1080" i="2" s="1"/>
  <c r="R1081" i="2" s="1"/>
  <c r="R1082" i="2" s="1"/>
  <c r="C1082" i="2" s="1"/>
  <c r="G1081" i="2"/>
  <c r="K1081" i="2" s="1"/>
  <c r="C1081" i="2"/>
  <c r="G92" i="1" s="1"/>
  <c r="G1079" i="2"/>
  <c r="M92" i="1" s="1"/>
  <c r="W230" i="2"/>
  <c r="Y230" i="2" s="1"/>
  <c r="R230" i="2"/>
  <c r="W229" i="2"/>
  <c r="Y229" i="2" s="1"/>
  <c r="R229" i="2"/>
  <c r="H1073" i="2"/>
  <c r="G1073" i="2"/>
  <c r="W228" i="2"/>
  <c r="Y228" i="2" s="1"/>
  <c r="R228" i="2"/>
  <c r="C694" i="2"/>
  <c r="F95" i="1" s="1"/>
  <c r="H95" i="1"/>
  <c r="E95" i="1"/>
  <c r="C225" i="2"/>
  <c r="C495" i="2"/>
  <c r="F34" i="1" s="1"/>
  <c r="C496" i="2"/>
  <c r="G496" i="2"/>
  <c r="K496" i="2" s="1"/>
  <c r="G224" i="2"/>
  <c r="M91" i="1" s="1"/>
  <c r="H91" i="1"/>
  <c r="C226" i="2"/>
  <c r="G91" i="1" s="1"/>
  <c r="E91" i="1"/>
  <c r="E93" i="1"/>
  <c r="B91" i="1"/>
  <c r="G121" i="2"/>
  <c r="K121" i="2" s="1"/>
  <c r="C406" i="2"/>
  <c r="G83" i="1" s="1"/>
  <c r="C421" i="2"/>
  <c r="G151" i="2"/>
  <c r="K151" i="2" s="1"/>
  <c r="C556" i="2"/>
  <c r="G97" i="1" s="1"/>
  <c r="R950" i="2"/>
  <c r="R951" i="2" s="1"/>
  <c r="C951" i="2" s="1"/>
  <c r="I947" i="2" s="1"/>
  <c r="K755" i="2"/>
  <c r="J53" i="1" s="1"/>
  <c r="C571" i="2"/>
  <c r="G41" i="1" s="1"/>
  <c r="C240" i="2"/>
  <c r="G46" i="1" s="1"/>
  <c r="G300" i="2"/>
  <c r="K300" i="2" s="1"/>
  <c r="C269" i="2"/>
  <c r="C270" i="2"/>
  <c r="K600" i="2"/>
  <c r="J71" i="1" s="1"/>
  <c r="K449" i="2"/>
  <c r="J27" i="1" s="1"/>
  <c r="C467" i="2"/>
  <c r="C466" i="2"/>
  <c r="C436" i="2"/>
  <c r="W219" i="2"/>
  <c r="Y219" i="2" s="1"/>
  <c r="U220" i="2" s="1"/>
  <c r="W220" i="2" s="1"/>
  <c r="Y220" i="2" s="1"/>
  <c r="U221" i="2" s="1"/>
  <c r="W221" i="2" s="1"/>
  <c r="Y221" i="2" s="1"/>
  <c r="U222" i="2" s="1"/>
  <c r="W222" i="2" s="1"/>
  <c r="Y222" i="2" s="1"/>
  <c r="U223" i="2" s="1"/>
  <c r="W223" i="2" s="1"/>
  <c r="Y223" i="2" s="1"/>
  <c r="U224" i="2" s="1"/>
  <c r="W224" i="2" s="1"/>
  <c r="Y224" i="2" s="1"/>
  <c r="U225" i="2" s="1"/>
  <c r="W225" i="2" s="1"/>
  <c r="Y225" i="2" s="1"/>
  <c r="U226" i="2" s="1"/>
  <c r="W226" i="2" s="1"/>
  <c r="Y226" i="2" s="1"/>
  <c r="U227" i="2" s="1"/>
  <c r="R220" i="2"/>
  <c r="R221" i="2" s="1"/>
  <c r="R222" i="2" s="1"/>
  <c r="R223" i="2" s="1"/>
  <c r="R224" i="2" s="1"/>
  <c r="R225" i="2" s="1"/>
  <c r="R226" i="2" s="1"/>
  <c r="R227" i="2" s="1"/>
  <c r="C227" i="2" s="1"/>
  <c r="K224" i="2"/>
  <c r="J91" i="1" s="1"/>
  <c r="G1065" i="2"/>
  <c r="K1065" i="2" s="1"/>
  <c r="W1069" i="2"/>
  <c r="Y1069" i="2" s="1"/>
  <c r="R1069" i="2"/>
  <c r="W1068" i="2"/>
  <c r="Y1068" i="2" s="1"/>
  <c r="R1068" i="2"/>
  <c r="H218" i="2"/>
  <c r="G218" i="2"/>
  <c r="W1067" i="2"/>
  <c r="Y1067" i="2" s="1"/>
  <c r="R1067" i="2"/>
  <c r="C481" i="2"/>
  <c r="G26" i="1" s="1"/>
  <c r="G774" i="2"/>
  <c r="K774" i="2" s="1"/>
  <c r="C300" i="2"/>
  <c r="C299" i="2"/>
  <c r="C315" i="2"/>
  <c r="G66" i="1" s="1"/>
  <c r="C314" i="2"/>
  <c r="F66" i="1" s="1"/>
  <c r="R211" i="2"/>
  <c r="R212" i="2"/>
  <c r="C212" i="2" s="1"/>
  <c r="I208" i="2" s="1"/>
  <c r="I85" i="1" s="1"/>
  <c r="R210" i="2"/>
  <c r="R207" i="2"/>
  <c r="R208" i="2"/>
  <c r="R209" i="2"/>
  <c r="R205" i="2"/>
  <c r="R206" i="2"/>
  <c r="C211" i="2"/>
  <c r="G85" i="1" s="1"/>
  <c r="C210" i="2"/>
  <c r="F85" i="1" s="1"/>
  <c r="C60" i="2"/>
  <c r="F15" i="1" s="1"/>
  <c r="K1063" i="2"/>
  <c r="J94" i="1" s="1"/>
  <c r="G1063" i="2"/>
  <c r="M94" i="1" s="1"/>
  <c r="H94" i="1"/>
  <c r="C1065" i="2"/>
  <c r="G94" i="1" s="1"/>
  <c r="C1064" i="2"/>
  <c r="F94" i="1" s="1"/>
  <c r="E94" i="1"/>
  <c r="B94" i="1"/>
  <c r="W1058" i="2"/>
  <c r="Y1058" i="2" s="1"/>
  <c r="U1059" i="2" s="1"/>
  <c r="W1059" i="2" s="1"/>
  <c r="Y1059" i="2" s="1"/>
  <c r="U1060" i="2" s="1"/>
  <c r="W1060" i="2" s="1"/>
  <c r="Y1060" i="2" s="1"/>
  <c r="U1061" i="2" s="1"/>
  <c r="W1061" i="2" s="1"/>
  <c r="Y1061" i="2" s="1"/>
  <c r="U1062" i="2" s="1"/>
  <c r="W1062" i="2" s="1"/>
  <c r="Y1062" i="2" s="1"/>
  <c r="U1063" i="2" s="1"/>
  <c r="W1063" i="2" s="1"/>
  <c r="Y1063" i="2" s="1"/>
  <c r="U1064" i="2" s="1"/>
  <c r="W1064" i="2" s="1"/>
  <c r="Y1064" i="2" s="1"/>
  <c r="U1065" i="2" s="1"/>
  <c r="W1065" i="2" s="1"/>
  <c r="Y1065" i="2" s="1"/>
  <c r="U1066" i="2" s="1"/>
  <c r="C1066" i="2"/>
  <c r="R1060" i="2"/>
  <c r="R1059" i="2"/>
  <c r="U1053" i="2"/>
  <c r="W1053" i="2" s="1"/>
  <c r="Y1053" i="2" s="1"/>
  <c r="R1053" i="2"/>
  <c r="H1057" i="2"/>
  <c r="G1057" i="2"/>
  <c r="U1052" i="2"/>
  <c r="W1052" i="2" s="1"/>
  <c r="Y1052" i="2" s="1"/>
  <c r="R1052" i="2"/>
  <c r="Y742" i="2"/>
  <c r="W1032" i="2"/>
  <c r="Y1032" i="2" s="1"/>
  <c r="K504" i="2"/>
  <c r="K1026" i="2"/>
  <c r="K1030" i="2" s="1"/>
  <c r="F79" i="4"/>
  <c r="R293" i="2"/>
  <c r="R294" i="2" s="1"/>
  <c r="R295" i="2" s="1"/>
  <c r="R296" i="2" s="1"/>
  <c r="R297" i="2" s="1"/>
  <c r="R298" i="2" s="1"/>
  <c r="R299" i="2" s="1"/>
  <c r="R300" i="2" s="1"/>
  <c r="R301" i="2" s="1"/>
  <c r="K233" i="2"/>
  <c r="K238" i="2" s="1"/>
  <c r="J46" i="1" s="1"/>
  <c r="F78" i="4"/>
  <c r="F77" i="4"/>
  <c r="F76" i="4"/>
  <c r="F75" i="4"/>
  <c r="R1014" i="2"/>
  <c r="C1014" i="2"/>
  <c r="C1013" i="2"/>
  <c r="B26" i="1"/>
  <c r="V75" i="2"/>
  <c r="W615" i="2"/>
  <c r="Y615" i="2" s="1"/>
  <c r="U616" i="2" s="1"/>
  <c r="W616" i="2" s="1"/>
  <c r="Y616" i="2" s="1"/>
  <c r="U617" i="2" s="1"/>
  <c r="W617" i="2" s="1"/>
  <c r="Y617" i="2" s="1"/>
  <c r="R615" i="2"/>
  <c r="R616" i="2" s="1"/>
  <c r="R617" i="2" s="1"/>
  <c r="K69" i="2"/>
  <c r="K73" i="2" s="1"/>
  <c r="K519" i="2"/>
  <c r="E33" i="1" s="1"/>
  <c r="K534" i="2"/>
  <c r="E36" i="1" s="1"/>
  <c r="H17" i="1"/>
  <c r="E17" i="1"/>
  <c r="B17" i="1"/>
  <c r="U1050" i="2"/>
  <c r="W1050" i="2" s="1"/>
  <c r="Y1050" i="2" s="1"/>
  <c r="R1050" i="2"/>
  <c r="U1049" i="2"/>
  <c r="W1049" i="2" s="1"/>
  <c r="Y1049" i="2" s="1"/>
  <c r="R1049" i="2"/>
  <c r="U1048" i="2"/>
  <c r="W1048" i="2" s="1"/>
  <c r="Y1048" i="2" s="1"/>
  <c r="R1048" i="2"/>
  <c r="C1050" i="2"/>
  <c r="G1049" i="2"/>
  <c r="K1049" i="2" s="1"/>
  <c r="C1049" i="2"/>
  <c r="G17" i="1" s="1"/>
  <c r="C1048" i="2"/>
  <c r="F17" i="1" s="1"/>
  <c r="K1047" i="2"/>
  <c r="J17" i="1" s="1"/>
  <c r="G1047" i="2"/>
  <c r="M17" i="1" s="1"/>
  <c r="R1041" i="2"/>
  <c r="R1040" i="2"/>
  <c r="W1039" i="2"/>
  <c r="Y1039" i="2" s="1"/>
  <c r="U1040" i="2" s="1"/>
  <c r="W1040" i="2" s="1"/>
  <c r="Y1040" i="2" s="1"/>
  <c r="U1041" i="2" s="1"/>
  <c r="W1041" i="2" s="1"/>
  <c r="Y1041" i="2" s="1"/>
  <c r="U1042" i="2" s="1"/>
  <c r="W1042" i="2" s="1"/>
  <c r="Y1042" i="2" s="1"/>
  <c r="U1043" i="2" s="1"/>
  <c r="W1043" i="2" s="1"/>
  <c r="Y1043" i="2" s="1"/>
  <c r="U1044" i="2" s="1"/>
  <c r="W1044" i="2" s="1"/>
  <c r="Y1044" i="2" s="1"/>
  <c r="U1045" i="2" s="1"/>
  <c r="W1045" i="2" s="1"/>
  <c r="Y1045" i="2" s="1"/>
  <c r="U1046" i="2" s="1"/>
  <c r="W1046" i="2" s="1"/>
  <c r="Y1046" i="2" s="1"/>
  <c r="U1047" i="2" s="1"/>
  <c r="H1041" i="2"/>
  <c r="G1041" i="2"/>
  <c r="H21" i="1"/>
  <c r="B21" i="1"/>
  <c r="U1034" i="2"/>
  <c r="W1034" i="2" s="1"/>
  <c r="Y1034" i="2" s="1"/>
  <c r="R1034" i="2"/>
  <c r="W1033" i="2"/>
  <c r="Y1033" i="2" s="1"/>
  <c r="R1033" i="2"/>
  <c r="R1032" i="2"/>
  <c r="C1034" i="2"/>
  <c r="G1033" i="2"/>
  <c r="G21" i="1"/>
  <c r="R1025" i="2"/>
  <c r="F21" i="1"/>
  <c r="R1024" i="2"/>
  <c r="G1031" i="2"/>
  <c r="M21" i="1" s="1"/>
  <c r="W1023" i="2"/>
  <c r="Y1023" i="2" s="1"/>
  <c r="U1024" i="2" s="1"/>
  <c r="W1024" i="2" s="1"/>
  <c r="Y1024" i="2" s="1"/>
  <c r="U1025" i="2" s="1"/>
  <c r="W1025" i="2" s="1"/>
  <c r="Y1025" i="2" s="1"/>
  <c r="U1026" i="2" s="1"/>
  <c r="W1026" i="2" s="1"/>
  <c r="Y1026" i="2" s="1"/>
  <c r="U1027" i="2" s="1"/>
  <c r="W1027" i="2" s="1"/>
  <c r="Y1027" i="2" s="1"/>
  <c r="U1028" i="2" s="1"/>
  <c r="W1028" i="2" s="1"/>
  <c r="Y1028" i="2" s="1"/>
  <c r="U1029" i="2" s="1"/>
  <c r="W1029" i="2" s="1"/>
  <c r="Y1029" i="2" s="1"/>
  <c r="U1030" i="2" s="1"/>
  <c r="W1030" i="2" s="1"/>
  <c r="Y1030" i="2" s="1"/>
  <c r="U1031" i="2" s="1"/>
  <c r="W1031" i="2" s="1"/>
  <c r="H1025" i="2"/>
  <c r="G1025" i="2"/>
  <c r="K1046" i="2"/>
  <c r="I17" i="1"/>
  <c r="I21" i="1"/>
  <c r="G83" i="2"/>
  <c r="N1" i="1"/>
  <c r="E112" i="1" s="1"/>
  <c r="K144" i="2"/>
  <c r="H97" i="1"/>
  <c r="E97" i="1"/>
  <c r="B97" i="1"/>
  <c r="G749" i="2"/>
  <c r="H749" i="2"/>
  <c r="W751" i="2"/>
  <c r="Y751" i="2" s="1"/>
  <c r="W752" i="2"/>
  <c r="Y752" i="2" s="1"/>
  <c r="W753" i="2"/>
  <c r="Y753" i="2" s="1"/>
  <c r="W754" i="2"/>
  <c r="Y754" i="2" s="1"/>
  <c r="G755" i="2"/>
  <c r="M53" i="1" s="1"/>
  <c r="W755" i="2"/>
  <c r="Y755" i="2" s="1"/>
  <c r="C756" i="2"/>
  <c r="F53" i="1" s="1"/>
  <c r="W756" i="2"/>
  <c r="Y756" i="2" s="1"/>
  <c r="C757" i="2"/>
  <c r="G53" i="1" s="1"/>
  <c r="G757" i="2"/>
  <c r="K757" i="2" s="1"/>
  <c r="R757" i="2"/>
  <c r="U757" i="2"/>
  <c r="W757" i="2" s="1"/>
  <c r="Y757" i="2" s="1"/>
  <c r="U758" i="2" s="1"/>
  <c r="C758" i="2"/>
  <c r="U759" i="2"/>
  <c r="W759" i="2" s="1"/>
  <c r="Y759" i="2" s="1"/>
  <c r="R760" i="2"/>
  <c r="U760" i="2"/>
  <c r="W760" i="2" s="1"/>
  <c r="Y760" i="2" s="1"/>
  <c r="U761" i="2"/>
  <c r="W761" i="2" s="1"/>
  <c r="Y761" i="2" s="1"/>
  <c r="H69" i="1"/>
  <c r="E69" i="1"/>
  <c r="B69" i="1"/>
  <c r="E89" i="1"/>
  <c r="H88" i="1"/>
  <c r="E88" i="1"/>
  <c r="B88" i="1"/>
  <c r="H93" i="1"/>
  <c r="B93" i="1"/>
  <c r="H90" i="1"/>
  <c r="E90" i="1"/>
  <c r="B90" i="1"/>
  <c r="H132" i="1"/>
  <c r="E132" i="1"/>
  <c r="B132" i="1"/>
  <c r="E72" i="1"/>
  <c r="H96" i="1"/>
  <c r="E96" i="1"/>
  <c r="H72" i="1"/>
  <c r="H89" i="1"/>
  <c r="U1018" i="2"/>
  <c r="W1018" i="2" s="1"/>
  <c r="Y1018" i="2" s="1"/>
  <c r="R1018" i="2"/>
  <c r="U1017" i="2"/>
  <c r="W1017" i="2" s="1"/>
  <c r="Y1017" i="2" s="1"/>
  <c r="R1017" i="2"/>
  <c r="U1016" i="2"/>
  <c r="W1016" i="2" s="1"/>
  <c r="Y1016" i="2" s="1"/>
  <c r="R1016" i="2"/>
  <c r="R1015" i="2"/>
  <c r="C1015" i="2" s="1"/>
  <c r="I1011" i="2" s="1"/>
  <c r="G1014" i="2"/>
  <c r="K1014" i="2" s="1"/>
  <c r="Y1012" i="2"/>
  <c r="U1013" i="2" s="1"/>
  <c r="W1013" i="2" s="1"/>
  <c r="Y1013" i="2" s="1"/>
  <c r="U1014" i="2" s="1"/>
  <c r="W1014" i="2" s="1"/>
  <c r="Y1014" i="2" s="1"/>
  <c r="U1015" i="2" s="1"/>
  <c r="K1012" i="2"/>
  <c r="K1013" i="2" s="1"/>
  <c r="G1012" i="2"/>
  <c r="R1009" i="2"/>
  <c r="R1008" i="2"/>
  <c r="W1007" i="2"/>
  <c r="Y1007" i="2" s="1"/>
  <c r="U1008" i="2" s="1"/>
  <c r="W1008" i="2" s="1"/>
  <c r="Y1008" i="2" s="1"/>
  <c r="U1009" i="2" s="1"/>
  <c r="W1009" i="2" s="1"/>
  <c r="Y1009" i="2" s="1"/>
  <c r="U1010" i="2" s="1"/>
  <c r="W1010" i="2" s="1"/>
  <c r="Y1010" i="2" s="1"/>
  <c r="U1011" i="2" s="1"/>
  <c r="W1011" i="2" s="1"/>
  <c r="Y1011" i="2" s="1"/>
  <c r="U1012" i="2" s="1"/>
  <c r="H1006" i="2"/>
  <c r="G1006" i="2"/>
  <c r="U1002" i="2"/>
  <c r="W1002" i="2" s="1"/>
  <c r="Y1002" i="2" s="1"/>
  <c r="R1002" i="2"/>
  <c r="U1001" i="2"/>
  <c r="W1001" i="2" s="1"/>
  <c r="Y1001" i="2" s="1"/>
  <c r="R1001" i="2"/>
  <c r="U1000" i="2"/>
  <c r="W1000" i="2" s="1"/>
  <c r="Y1000" i="2" s="1"/>
  <c r="R1000" i="2"/>
  <c r="R999" i="2"/>
  <c r="C999" i="2" s="1"/>
  <c r="I995" i="2" s="1"/>
  <c r="K995" i="2" s="1"/>
  <c r="R998" i="2"/>
  <c r="G998" i="2"/>
  <c r="C998" i="2"/>
  <c r="G132" i="1" s="1"/>
  <c r="R997" i="2"/>
  <c r="C997" i="2"/>
  <c r="F132" i="1" s="1"/>
  <c r="Y996" i="2"/>
  <c r="U997" i="2" s="1"/>
  <c r="W997" i="2" s="1"/>
  <c r="Y997" i="2" s="1"/>
  <c r="U998" i="2" s="1"/>
  <c r="W998" i="2" s="1"/>
  <c r="Y998" i="2" s="1"/>
  <c r="U999" i="2" s="1"/>
  <c r="K996" i="2"/>
  <c r="J132" i="1" s="1"/>
  <c r="G996" i="2"/>
  <c r="M132" i="1" s="1"/>
  <c r="R993" i="2"/>
  <c r="R992" i="2"/>
  <c r="W991" i="2"/>
  <c r="Y991" i="2" s="1"/>
  <c r="U992" i="2" s="1"/>
  <c r="W992" i="2" s="1"/>
  <c r="Y992" i="2" s="1"/>
  <c r="U993" i="2" s="1"/>
  <c r="W993" i="2" s="1"/>
  <c r="Y993" i="2" s="1"/>
  <c r="U994" i="2" s="1"/>
  <c r="W994" i="2" s="1"/>
  <c r="Y994" i="2" s="1"/>
  <c r="U995" i="2" s="1"/>
  <c r="W995" i="2" s="1"/>
  <c r="Y995" i="2" s="1"/>
  <c r="U996" i="2" s="1"/>
  <c r="H990" i="2"/>
  <c r="G990" i="2"/>
  <c r="C981" i="2"/>
  <c r="F90" i="1" s="1"/>
  <c r="U986" i="2"/>
  <c r="W986" i="2" s="1"/>
  <c r="Y986" i="2" s="1"/>
  <c r="R986" i="2"/>
  <c r="U985" i="2"/>
  <c r="W985" i="2" s="1"/>
  <c r="Y985" i="2" s="1"/>
  <c r="R985" i="2"/>
  <c r="U984" i="2"/>
  <c r="W984" i="2" s="1"/>
  <c r="Y984" i="2" s="1"/>
  <c r="R984" i="2"/>
  <c r="R983" i="2"/>
  <c r="C983" i="2" s="1"/>
  <c r="G982" i="2"/>
  <c r="K982" i="2" s="1"/>
  <c r="C982" i="2"/>
  <c r="G90" i="1" s="1"/>
  <c r="K980" i="2"/>
  <c r="J90" i="1" s="1"/>
  <c r="G980" i="2"/>
  <c r="M90" i="1" s="1"/>
  <c r="R977" i="2"/>
  <c r="R976" i="2"/>
  <c r="W975" i="2"/>
  <c r="Y975" i="2" s="1"/>
  <c r="U976" i="2" s="1"/>
  <c r="W976" i="2" s="1"/>
  <c r="Y976" i="2" s="1"/>
  <c r="U977" i="2" s="1"/>
  <c r="W977" i="2" s="1"/>
  <c r="Y977" i="2" s="1"/>
  <c r="U978" i="2" s="1"/>
  <c r="W978" i="2" s="1"/>
  <c r="Y978" i="2" s="1"/>
  <c r="U979" i="2" s="1"/>
  <c r="W979" i="2" s="1"/>
  <c r="Y979" i="2" s="1"/>
  <c r="U980" i="2" s="1"/>
  <c r="Y980" i="2"/>
  <c r="H974" i="2"/>
  <c r="G974" i="2"/>
  <c r="U970" i="2"/>
  <c r="W970" i="2" s="1"/>
  <c r="Y970" i="2" s="1"/>
  <c r="R970" i="2"/>
  <c r="U969" i="2"/>
  <c r="W969" i="2" s="1"/>
  <c r="Y969" i="2" s="1"/>
  <c r="R969" i="2"/>
  <c r="U968" i="2"/>
  <c r="W968" i="2" s="1"/>
  <c r="Y968" i="2" s="1"/>
  <c r="R968" i="2"/>
  <c r="R967" i="2"/>
  <c r="C967" i="2" s="1"/>
  <c r="G966" i="2"/>
  <c r="C965" i="2"/>
  <c r="F93" i="1" s="1"/>
  <c r="K964" i="2"/>
  <c r="J93" i="1" s="1"/>
  <c r="G964" i="2"/>
  <c r="M93" i="1" s="1"/>
  <c r="R961" i="2"/>
  <c r="R960" i="2"/>
  <c r="W959" i="2"/>
  <c r="Y959" i="2" s="1"/>
  <c r="U960" i="2" s="1"/>
  <c r="W960" i="2" s="1"/>
  <c r="Y960" i="2" s="1"/>
  <c r="U961" i="2" s="1"/>
  <c r="W961" i="2" s="1"/>
  <c r="Y961" i="2" s="1"/>
  <c r="U962" i="2" s="1"/>
  <c r="W962" i="2" s="1"/>
  <c r="Y962" i="2" s="1"/>
  <c r="U963" i="2" s="1"/>
  <c r="W963" i="2" s="1"/>
  <c r="Y963" i="2" s="1"/>
  <c r="U964" i="2" s="1"/>
  <c r="W964" i="2" s="1"/>
  <c r="Y964" i="2" s="1"/>
  <c r="U965" i="2" s="1"/>
  <c r="W965" i="2" s="1"/>
  <c r="Y965" i="2" s="1"/>
  <c r="U966" i="2" s="1"/>
  <c r="W966" i="2" s="1"/>
  <c r="Y966" i="2" s="1"/>
  <c r="U967" i="2" s="1"/>
  <c r="H958" i="2"/>
  <c r="G958" i="2"/>
  <c r="U954" i="2"/>
  <c r="W954" i="2" s="1"/>
  <c r="Y954" i="2" s="1"/>
  <c r="R954" i="2"/>
  <c r="U953" i="2"/>
  <c r="W953" i="2" s="1"/>
  <c r="Y953" i="2" s="1"/>
  <c r="R953" i="2"/>
  <c r="U952" i="2"/>
  <c r="W952" i="2" s="1"/>
  <c r="Y952" i="2" s="1"/>
  <c r="R952" i="2"/>
  <c r="G950" i="2"/>
  <c r="C950" i="2"/>
  <c r="G96" i="1" s="1"/>
  <c r="C949" i="2"/>
  <c r="K948" i="2"/>
  <c r="J96" i="1" s="1"/>
  <c r="G948" i="2"/>
  <c r="M96" i="1" s="1"/>
  <c r="R945" i="2"/>
  <c r="R944" i="2"/>
  <c r="W943" i="2"/>
  <c r="Y943" i="2" s="1"/>
  <c r="U944" i="2" s="1"/>
  <c r="W944" i="2" s="1"/>
  <c r="Y944" i="2" s="1"/>
  <c r="U945" i="2" s="1"/>
  <c r="W945" i="2" s="1"/>
  <c r="Y945" i="2" s="1"/>
  <c r="U946" i="2" s="1"/>
  <c r="W946" i="2" s="1"/>
  <c r="Y946" i="2" s="1"/>
  <c r="U947" i="2" s="1"/>
  <c r="W947" i="2" s="1"/>
  <c r="Y947" i="2" s="1"/>
  <c r="U948" i="2" s="1"/>
  <c r="W948" i="2" s="1"/>
  <c r="Y948" i="2" s="1"/>
  <c r="U949" i="2" s="1"/>
  <c r="W949" i="2" s="1"/>
  <c r="Y949" i="2" s="1"/>
  <c r="U950" i="2" s="1"/>
  <c r="W950" i="2" s="1"/>
  <c r="Y950" i="2" s="1"/>
  <c r="U951" i="2" s="1"/>
  <c r="H942" i="2"/>
  <c r="G942" i="2"/>
  <c r="C586" i="2"/>
  <c r="G67" i="1" s="1"/>
  <c r="H87" i="1"/>
  <c r="E87" i="1"/>
  <c r="B87" i="1"/>
  <c r="V540" i="2"/>
  <c r="G247" i="2"/>
  <c r="H247" i="2"/>
  <c r="K248" i="2"/>
  <c r="K253" i="2" s="1"/>
  <c r="J64" i="1" s="1"/>
  <c r="G253" i="2"/>
  <c r="M64" i="1" s="1"/>
  <c r="U253" i="2"/>
  <c r="W253" i="2" s="1"/>
  <c r="Y253" i="2" s="1"/>
  <c r="C254" i="2"/>
  <c r="F64" i="1" s="1"/>
  <c r="C255" i="2"/>
  <c r="G64" i="1" s="1"/>
  <c r="G255" i="2"/>
  <c r="K255" i="2" s="1"/>
  <c r="C256" i="2"/>
  <c r="U256" i="2"/>
  <c r="W256" i="2" s="1"/>
  <c r="U257" i="2"/>
  <c r="W257" i="2" s="1"/>
  <c r="Y257" i="2" s="1"/>
  <c r="R259" i="2"/>
  <c r="F96" i="1"/>
  <c r="V239" i="2"/>
  <c r="U938" i="2"/>
  <c r="W938" i="2" s="1"/>
  <c r="Y938" i="2" s="1"/>
  <c r="R938" i="2"/>
  <c r="U937" i="2"/>
  <c r="W937" i="2" s="1"/>
  <c r="Y937" i="2" s="1"/>
  <c r="R937" i="2"/>
  <c r="U936" i="2"/>
  <c r="W936" i="2" s="1"/>
  <c r="Y936" i="2" s="1"/>
  <c r="R936" i="2"/>
  <c r="C935" i="2"/>
  <c r="G934" i="2"/>
  <c r="C934" i="2"/>
  <c r="G89" i="1" s="1"/>
  <c r="C933" i="2"/>
  <c r="F89" i="1" s="1"/>
  <c r="G932" i="2"/>
  <c r="M89" i="1" s="1"/>
  <c r="R929" i="2"/>
  <c r="R928" i="2"/>
  <c r="W927" i="2"/>
  <c r="Y927" i="2" s="1"/>
  <c r="U928" i="2" s="1"/>
  <c r="W928" i="2" s="1"/>
  <c r="Y928" i="2" s="1"/>
  <c r="U929" i="2" s="1"/>
  <c r="W929" i="2" s="1"/>
  <c r="Y929" i="2" s="1"/>
  <c r="U930" i="2" s="1"/>
  <c r="W930" i="2" s="1"/>
  <c r="Y930" i="2" s="1"/>
  <c r="U931" i="2" s="1"/>
  <c r="W931" i="2" s="1"/>
  <c r="Y931" i="2" s="1"/>
  <c r="U932" i="2" s="1"/>
  <c r="W932" i="2" s="1"/>
  <c r="Y932" i="2" s="1"/>
  <c r="U933" i="2" s="1"/>
  <c r="W933" i="2" s="1"/>
  <c r="Y933" i="2" s="1"/>
  <c r="U934" i="2" s="1"/>
  <c r="W934" i="2" s="1"/>
  <c r="Y934" i="2" s="1"/>
  <c r="U935" i="2" s="1"/>
  <c r="H926" i="2"/>
  <c r="G926" i="2"/>
  <c r="U922" i="2"/>
  <c r="W922" i="2" s="1"/>
  <c r="Y922" i="2" s="1"/>
  <c r="R922" i="2"/>
  <c r="U921" i="2"/>
  <c r="W921" i="2" s="1"/>
  <c r="Y921" i="2" s="1"/>
  <c r="R921" i="2"/>
  <c r="U920" i="2"/>
  <c r="W920" i="2" s="1"/>
  <c r="Y920" i="2" s="1"/>
  <c r="R920" i="2"/>
  <c r="C919" i="2"/>
  <c r="G918" i="2"/>
  <c r="C918" i="2"/>
  <c r="K916" i="2"/>
  <c r="J88" i="1" s="1"/>
  <c r="G916" i="2"/>
  <c r="M88" i="1" s="1"/>
  <c r="R913" i="2"/>
  <c r="R912" i="2"/>
  <c r="W911" i="2"/>
  <c r="Y911" i="2" s="1"/>
  <c r="U912" i="2" s="1"/>
  <c r="W912" i="2" s="1"/>
  <c r="Y912" i="2" s="1"/>
  <c r="U913" i="2" s="1"/>
  <c r="W913" i="2" s="1"/>
  <c r="Y913" i="2" s="1"/>
  <c r="U914" i="2" s="1"/>
  <c r="W914" i="2" s="1"/>
  <c r="Y914" i="2" s="1"/>
  <c r="U915" i="2" s="1"/>
  <c r="W915" i="2" s="1"/>
  <c r="Y915" i="2" s="1"/>
  <c r="U916" i="2" s="1"/>
  <c r="W916" i="2" s="1"/>
  <c r="Y916" i="2" s="1"/>
  <c r="U917" i="2" s="1"/>
  <c r="H910" i="2"/>
  <c r="G910" i="2"/>
  <c r="U906" i="2"/>
  <c r="W906" i="2"/>
  <c r="Y906" i="2" s="1"/>
  <c r="R906" i="2"/>
  <c r="U905" i="2"/>
  <c r="W905" i="2" s="1"/>
  <c r="Y905" i="2" s="1"/>
  <c r="R905" i="2"/>
  <c r="U904" i="2"/>
  <c r="W904" i="2" s="1"/>
  <c r="Y904" i="2" s="1"/>
  <c r="R904" i="2"/>
  <c r="C903" i="2"/>
  <c r="G902" i="2"/>
  <c r="C902" i="2"/>
  <c r="G87" i="1" s="1"/>
  <c r="K900" i="2"/>
  <c r="J87" i="1" s="1"/>
  <c r="G900" i="2"/>
  <c r="R897" i="2"/>
  <c r="R896" i="2"/>
  <c r="W895" i="2"/>
  <c r="Y895" i="2" s="1"/>
  <c r="U896" i="2" s="1"/>
  <c r="W896" i="2" s="1"/>
  <c r="Y896" i="2" s="1"/>
  <c r="U897" i="2" s="1"/>
  <c r="W897" i="2" s="1"/>
  <c r="Y897" i="2" s="1"/>
  <c r="U898" i="2" s="1"/>
  <c r="W898" i="2" s="1"/>
  <c r="Y898" i="2" s="1"/>
  <c r="U899" i="2" s="1"/>
  <c r="W899" i="2" s="1"/>
  <c r="Y899" i="2" s="1"/>
  <c r="U900" i="2" s="1"/>
  <c r="W900" i="2" s="1"/>
  <c r="Y900" i="2" s="1"/>
  <c r="U901" i="2" s="1"/>
  <c r="W901" i="2" s="1"/>
  <c r="Y901" i="2" s="1"/>
  <c r="U902" i="2" s="1"/>
  <c r="W902" i="2" s="1"/>
  <c r="Y902" i="2" s="1"/>
  <c r="U903" i="2" s="1"/>
  <c r="H894" i="2"/>
  <c r="G894" i="2"/>
  <c r="U890" i="2"/>
  <c r="W890" i="2" s="1"/>
  <c r="Y890" i="2" s="1"/>
  <c r="R890" i="2"/>
  <c r="U889" i="2"/>
  <c r="W889" i="2" s="1"/>
  <c r="Y889" i="2" s="1"/>
  <c r="R889" i="2"/>
  <c r="U888" i="2"/>
  <c r="W888" i="2" s="1"/>
  <c r="Y888" i="2" s="1"/>
  <c r="R888" i="2"/>
  <c r="G886" i="2"/>
  <c r="C886" i="2"/>
  <c r="G72" i="1" s="1"/>
  <c r="R885" i="2"/>
  <c r="R886" i="2" s="1"/>
  <c r="R887" i="2" s="1"/>
  <c r="C887" i="2" s="1"/>
  <c r="C885" i="2"/>
  <c r="F72" i="1" s="1"/>
  <c r="K884" i="2"/>
  <c r="J72" i="1" s="1"/>
  <c r="G884" i="2"/>
  <c r="M72" i="1" s="1"/>
  <c r="R881" i="2"/>
  <c r="R880" i="2"/>
  <c r="W879" i="2"/>
  <c r="Y879" i="2" s="1"/>
  <c r="U880" i="2" s="1"/>
  <c r="W880" i="2" s="1"/>
  <c r="Y880" i="2" s="1"/>
  <c r="U881" i="2" s="1"/>
  <c r="W881" i="2" s="1"/>
  <c r="Y881" i="2" s="1"/>
  <c r="U882" i="2" s="1"/>
  <c r="W882" i="2" s="1"/>
  <c r="Y882" i="2" s="1"/>
  <c r="U883" i="2" s="1"/>
  <c r="W883" i="2" s="1"/>
  <c r="Y883" i="2" s="1"/>
  <c r="U884" i="2" s="1"/>
  <c r="W884" i="2" s="1"/>
  <c r="Y884" i="2" s="1"/>
  <c r="U885" i="2" s="1"/>
  <c r="W885" i="2" s="1"/>
  <c r="Y885" i="2" s="1"/>
  <c r="U886" i="2" s="1"/>
  <c r="W886" i="2" s="1"/>
  <c r="Y886" i="2" s="1"/>
  <c r="U887" i="2" s="1"/>
  <c r="H878" i="2"/>
  <c r="G878" i="2"/>
  <c r="K868" i="2"/>
  <c r="J69" i="1" s="1"/>
  <c r="K852" i="2"/>
  <c r="U874" i="2"/>
  <c r="W874" i="2" s="1"/>
  <c r="Y874" i="2" s="1"/>
  <c r="R874" i="2"/>
  <c r="U873" i="2"/>
  <c r="W873" i="2" s="1"/>
  <c r="Y873" i="2" s="1"/>
  <c r="R873" i="2"/>
  <c r="U872" i="2"/>
  <c r="W872" i="2" s="1"/>
  <c r="Y872" i="2" s="1"/>
  <c r="R872" i="2"/>
  <c r="C871" i="2"/>
  <c r="G870" i="2"/>
  <c r="C870" i="2"/>
  <c r="G69" i="1" s="1"/>
  <c r="C869" i="2"/>
  <c r="F69" i="1" s="1"/>
  <c r="G868" i="2"/>
  <c r="M69" i="1" s="1"/>
  <c r="R865" i="2"/>
  <c r="R864" i="2"/>
  <c r="W863" i="2"/>
  <c r="Y863" i="2" s="1"/>
  <c r="U864" i="2" s="1"/>
  <c r="W864" i="2" s="1"/>
  <c r="Y864" i="2" s="1"/>
  <c r="U865" i="2" s="1"/>
  <c r="W865" i="2" s="1"/>
  <c r="Y865" i="2" s="1"/>
  <c r="U866" i="2" s="1"/>
  <c r="W866" i="2" s="1"/>
  <c r="Y866" i="2" s="1"/>
  <c r="U867" i="2" s="1"/>
  <c r="W867" i="2" s="1"/>
  <c r="Y867" i="2" s="1"/>
  <c r="U868" i="2" s="1"/>
  <c r="W868" i="2" s="1"/>
  <c r="Y868" i="2" s="1"/>
  <c r="U869" i="2" s="1"/>
  <c r="W869" i="2" s="1"/>
  <c r="Y869" i="2" s="1"/>
  <c r="U870" i="2" s="1"/>
  <c r="W870" i="2" s="1"/>
  <c r="Y870" i="2" s="1"/>
  <c r="U871" i="2" s="1"/>
  <c r="W871" i="2" s="1"/>
  <c r="H862" i="2"/>
  <c r="G862" i="2"/>
  <c r="G88" i="1"/>
  <c r="M87" i="1"/>
  <c r="Q132" i="1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R14" i="3"/>
  <c r="Q13" i="3"/>
  <c r="Q16" i="3" s="1"/>
  <c r="P13" i="3"/>
  <c r="R11" i="3"/>
  <c r="R10" i="3"/>
  <c r="R9" i="3"/>
  <c r="R7" i="3"/>
  <c r="R5" i="3"/>
  <c r="R4" i="3"/>
  <c r="R3" i="3"/>
  <c r="U858" i="2"/>
  <c r="W858" i="2" s="1"/>
  <c r="Y858" i="2" s="1"/>
  <c r="R858" i="2"/>
  <c r="U857" i="2"/>
  <c r="W857" i="2" s="1"/>
  <c r="Y857" i="2" s="1"/>
  <c r="R857" i="2"/>
  <c r="U856" i="2"/>
  <c r="W856" i="2" s="1"/>
  <c r="Y856" i="2" s="1"/>
  <c r="R856" i="2"/>
  <c r="R855" i="2"/>
  <c r="C855" i="2" s="1"/>
  <c r="I851" i="2" s="1"/>
  <c r="K851" i="2" s="1"/>
  <c r="R854" i="2"/>
  <c r="G854" i="2"/>
  <c r="K854" i="2" s="1"/>
  <c r="C854" i="2"/>
  <c r="R853" i="2"/>
  <c r="C853" i="2"/>
  <c r="G852" i="2"/>
  <c r="R849" i="2"/>
  <c r="R848" i="2"/>
  <c r="W847" i="2"/>
  <c r="Y847" i="2" s="1"/>
  <c r="U848" i="2" s="1"/>
  <c r="W848" i="2" s="1"/>
  <c r="Y848" i="2" s="1"/>
  <c r="U849" i="2" s="1"/>
  <c r="W849" i="2" s="1"/>
  <c r="Y849" i="2" s="1"/>
  <c r="U850" i="2" s="1"/>
  <c r="W850" i="2" s="1"/>
  <c r="Y850" i="2" s="1"/>
  <c r="U851" i="2" s="1"/>
  <c r="W851" i="2" s="1"/>
  <c r="Y851" i="2" s="1"/>
  <c r="U852" i="2" s="1"/>
  <c r="W852" i="2" s="1"/>
  <c r="Y852" i="2" s="1"/>
  <c r="U853" i="2" s="1"/>
  <c r="W853" i="2" s="1"/>
  <c r="Y853" i="2" s="1"/>
  <c r="U854" i="2" s="1"/>
  <c r="W854" i="2" s="1"/>
  <c r="Y854" i="2" s="1"/>
  <c r="U855" i="2" s="1"/>
  <c r="H846" i="2"/>
  <c r="G846" i="2"/>
  <c r="U842" i="2"/>
  <c r="W842" i="2" s="1"/>
  <c r="Y842" i="2" s="1"/>
  <c r="R842" i="2"/>
  <c r="U841" i="2"/>
  <c r="W841" i="2" s="1"/>
  <c r="Y841" i="2" s="1"/>
  <c r="R841" i="2"/>
  <c r="U840" i="2"/>
  <c r="W840" i="2" s="1"/>
  <c r="Y840" i="2" s="1"/>
  <c r="R840" i="2"/>
  <c r="R839" i="2"/>
  <c r="G838" i="2"/>
  <c r="K838" i="2" s="1"/>
  <c r="F81" i="1"/>
  <c r="K836" i="2"/>
  <c r="G836" i="2"/>
  <c r="M81" i="1" s="1"/>
  <c r="R833" i="2"/>
  <c r="R832" i="2"/>
  <c r="W831" i="2"/>
  <c r="Y831" i="2" s="1"/>
  <c r="U832" i="2" s="1"/>
  <c r="W832" i="2" s="1"/>
  <c r="Y832" i="2" s="1"/>
  <c r="U833" i="2" s="1"/>
  <c r="W833" i="2" s="1"/>
  <c r="Y833" i="2" s="1"/>
  <c r="U834" i="2" s="1"/>
  <c r="W834" i="2" s="1"/>
  <c r="Y834" i="2" s="1"/>
  <c r="U835" i="2" s="1"/>
  <c r="W835" i="2" s="1"/>
  <c r="Y835" i="2" s="1"/>
  <c r="U836" i="2" s="1"/>
  <c r="W836" i="2" s="1"/>
  <c r="Y836" i="2" s="1"/>
  <c r="U837" i="2" s="1"/>
  <c r="W837" i="2" s="1"/>
  <c r="Y837" i="2" s="1"/>
  <c r="U838" i="2" s="1"/>
  <c r="W838" i="2" s="1"/>
  <c r="Y838" i="2" s="1"/>
  <c r="U839" i="2" s="1"/>
  <c r="H830" i="2"/>
  <c r="G830" i="2"/>
  <c r="U826" i="2"/>
  <c r="W826" i="2" s="1"/>
  <c r="Y826" i="2" s="1"/>
  <c r="R826" i="2"/>
  <c r="U825" i="2"/>
  <c r="W825" i="2" s="1"/>
  <c r="Y825" i="2" s="1"/>
  <c r="R825" i="2"/>
  <c r="U824" i="2"/>
  <c r="W824" i="2" s="1"/>
  <c r="Y824" i="2" s="1"/>
  <c r="R824" i="2"/>
  <c r="R822" i="2"/>
  <c r="R823" i="2" s="1"/>
  <c r="C823" i="2" s="1"/>
  <c r="G822" i="2"/>
  <c r="K822" i="2" s="1"/>
  <c r="C822" i="2"/>
  <c r="G74" i="1" s="1"/>
  <c r="C821" i="2"/>
  <c r="F74" i="1" s="1"/>
  <c r="K820" i="2"/>
  <c r="G820" i="2"/>
  <c r="R817" i="2"/>
  <c r="R816" i="2"/>
  <c r="W815" i="2"/>
  <c r="Y815" i="2" s="1"/>
  <c r="U816" i="2" s="1"/>
  <c r="W816" i="2" s="1"/>
  <c r="Y816" i="2" s="1"/>
  <c r="U817" i="2" s="1"/>
  <c r="W817" i="2" s="1"/>
  <c r="Y817" i="2" s="1"/>
  <c r="U818" i="2" s="1"/>
  <c r="W818" i="2" s="1"/>
  <c r="Y818" i="2" s="1"/>
  <c r="U819" i="2" s="1"/>
  <c r="W819" i="2" s="1"/>
  <c r="Y819" i="2" s="1"/>
  <c r="U820" i="2" s="1"/>
  <c r="W820" i="2" s="1"/>
  <c r="Y820" i="2" s="1"/>
  <c r="U821" i="2" s="1"/>
  <c r="W821" i="2" s="1"/>
  <c r="Y821" i="2" s="1"/>
  <c r="U822" i="2" s="1"/>
  <c r="W822" i="2" s="1"/>
  <c r="Y822" i="2" s="1"/>
  <c r="U823" i="2" s="1"/>
  <c r="H814" i="2"/>
  <c r="G814" i="2"/>
  <c r="U810" i="2"/>
  <c r="W810" i="2" s="1"/>
  <c r="Y810" i="2" s="1"/>
  <c r="R810" i="2"/>
  <c r="U809" i="2"/>
  <c r="W809" i="2" s="1"/>
  <c r="Y809" i="2" s="1"/>
  <c r="R809" i="2"/>
  <c r="U808" i="2"/>
  <c r="W808" i="2" s="1"/>
  <c r="Y808" i="2" s="1"/>
  <c r="R808" i="2"/>
  <c r="G806" i="2"/>
  <c r="K806" i="2" s="1"/>
  <c r="C806" i="2"/>
  <c r="G65" i="1" s="1"/>
  <c r="C805" i="2"/>
  <c r="F65" i="1" s="1"/>
  <c r="R804" i="2"/>
  <c r="R805" i="2" s="1"/>
  <c r="R806" i="2" s="1"/>
  <c r="R807" i="2" s="1"/>
  <c r="C807" i="2" s="1"/>
  <c r="K804" i="2"/>
  <c r="J65" i="1" s="1"/>
  <c r="G804" i="2"/>
  <c r="M65" i="1" s="1"/>
  <c r="W799" i="2"/>
  <c r="Y799" i="2" s="1"/>
  <c r="U800" i="2" s="1"/>
  <c r="W800" i="2" s="1"/>
  <c r="Y800" i="2" s="1"/>
  <c r="U801" i="2" s="1"/>
  <c r="W801" i="2" s="1"/>
  <c r="Y801" i="2" s="1"/>
  <c r="U802" i="2" s="1"/>
  <c r="W802" i="2" s="1"/>
  <c r="Y802" i="2" s="1"/>
  <c r="U803" i="2" s="1"/>
  <c r="W803" i="2" s="1"/>
  <c r="Y803" i="2" s="1"/>
  <c r="U804" i="2" s="1"/>
  <c r="W804" i="2" s="1"/>
  <c r="Y804" i="2" s="1"/>
  <c r="U805" i="2" s="1"/>
  <c r="W805" i="2" s="1"/>
  <c r="Y805" i="2" s="1"/>
  <c r="U806" i="2" s="1"/>
  <c r="W806" i="2" s="1"/>
  <c r="Y806" i="2" s="1"/>
  <c r="U807" i="2" s="1"/>
  <c r="H798" i="2"/>
  <c r="G798" i="2"/>
  <c r="C791" i="2"/>
  <c r="G790" i="2"/>
  <c r="O70" i="1" s="1"/>
  <c r="C790" i="2"/>
  <c r="G70" i="1" s="1"/>
  <c r="C789" i="2"/>
  <c r="F110" i="1" s="1"/>
  <c r="K788" i="2"/>
  <c r="G788" i="2"/>
  <c r="M70" i="1" s="1"/>
  <c r="P785" i="2"/>
  <c r="W783" i="2"/>
  <c r="Y783" i="2" s="1"/>
  <c r="U784" i="2" s="1"/>
  <c r="W784" i="2" s="1"/>
  <c r="Y784" i="2" s="1"/>
  <c r="U785" i="2" s="1"/>
  <c r="W785" i="2" s="1"/>
  <c r="Y785" i="2" s="1"/>
  <c r="U786" i="2" s="1"/>
  <c r="W786" i="2" s="1"/>
  <c r="Y786" i="2" s="1"/>
  <c r="U787" i="2" s="1"/>
  <c r="W787" i="2" s="1"/>
  <c r="Y787" i="2" s="1"/>
  <c r="U788" i="2" s="1"/>
  <c r="W788" i="2" s="1"/>
  <c r="Y788" i="2" s="1"/>
  <c r="U789" i="2" s="1"/>
  <c r="W789" i="2" s="1"/>
  <c r="Y789" i="2" s="1"/>
  <c r="U790" i="2" s="1"/>
  <c r="W790" i="2" s="1"/>
  <c r="Y790" i="2" s="1"/>
  <c r="U791" i="2" s="1"/>
  <c r="H782" i="2"/>
  <c r="G782" i="2"/>
  <c r="R778" i="2"/>
  <c r="R777" i="2"/>
  <c r="R776" i="2"/>
  <c r="C775" i="2"/>
  <c r="C774" i="2"/>
  <c r="G80" i="1" s="1"/>
  <c r="C773" i="2"/>
  <c r="F80" i="1" s="1"/>
  <c r="R772" i="2"/>
  <c r="R773" i="2" s="1"/>
  <c r="R774" i="2" s="1"/>
  <c r="G772" i="2"/>
  <c r="M80" i="1" s="1"/>
  <c r="R770" i="2"/>
  <c r="W768" i="2"/>
  <c r="Y768" i="2" s="1"/>
  <c r="U769" i="2" s="1"/>
  <c r="W769" i="2" s="1"/>
  <c r="Y769" i="2" s="1"/>
  <c r="U770" i="2" s="1"/>
  <c r="W770" i="2" s="1"/>
  <c r="Y770" i="2" s="1"/>
  <c r="U771" i="2" s="1"/>
  <c r="W771" i="2" s="1"/>
  <c r="Y771" i="2" s="1"/>
  <c r="U772" i="2" s="1"/>
  <c r="W772" i="2" s="1"/>
  <c r="Y772" i="2" s="1"/>
  <c r="U773" i="2" s="1"/>
  <c r="W773" i="2" s="1"/>
  <c r="Y773" i="2" s="1"/>
  <c r="U774" i="2" s="1"/>
  <c r="W774" i="2" s="1"/>
  <c r="Y774" i="2" s="1"/>
  <c r="U775" i="2" s="1"/>
  <c r="R768" i="2"/>
  <c r="W767" i="2"/>
  <c r="Y767" i="2" s="1"/>
  <c r="K767" i="2"/>
  <c r="K772" i="2" s="1"/>
  <c r="J80" i="1" s="1"/>
  <c r="H766" i="2"/>
  <c r="G766" i="2"/>
  <c r="W746" i="2"/>
  <c r="Y746" i="2" s="1"/>
  <c r="R746" i="2"/>
  <c r="W745" i="2"/>
  <c r="Y745" i="2" s="1"/>
  <c r="R745" i="2"/>
  <c r="W744" i="2"/>
  <c r="Y744" i="2" s="1"/>
  <c r="R744" i="2"/>
  <c r="W743" i="2"/>
  <c r="Y743" i="2" s="1"/>
  <c r="G743" i="2" s="1"/>
  <c r="P68" i="1" s="1"/>
  <c r="C743" i="2"/>
  <c r="C742" i="2"/>
  <c r="G68" i="1" s="1"/>
  <c r="W741" i="2"/>
  <c r="Y741" i="2" s="1"/>
  <c r="U742" i="2" s="1"/>
  <c r="C741" i="2"/>
  <c r="W740" i="2"/>
  <c r="Y740" i="2" s="1"/>
  <c r="G740" i="2"/>
  <c r="M68" i="1" s="1"/>
  <c r="W739" i="2"/>
  <c r="Y739" i="2" s="1"/>
  <c r="G739" i="2"/>
  <c r="L68" i="1" s="1"/>
  <c r="W738" i="2"/>
  <c r="Y738" i="2" s="1"/>
  <c r="W737" i="2"/>
  <c r="Y737" i="2" s="1"/>
  <c r="R737" i="2"/>
  <c r="R738" i="2" s="1"/>
  <c r="R739" i="2" s="1"/>
  <c r="W736" i="2"/>
  <c r="Y736" i="2" s="1"/>
  <c r="W735" i="2"/>
  <c r="Y735" i="2" s="1"/>
  <c r="H734" i="2"/>
  <c r="G734" i="2"/>
  <c r="R731" i="2"/>
  <c r="W729" i="2"/>
  <c r="Y729" i="2" s="1"/>
  <c r="W730" i="2" s="1"/>
  <c r="Y730" i="2" s="1"/>
  <c r="U731" i="2" s="1"/>
  <c r="W731" i="2" s="1"/>
  <c r="Y731" i="2" s="1"/>
  <c r="G727" i="2"/>
  <c r="K727" i="2" s="1"/>
  <c r="C727" i="2"/>
  <c r="R726" i="2"/>
  <c r="C728" i="2"/>
  <c r="C726" i="2"/>
  <c r="F50" i="1" s="1"/>
  <c r="K725" i="2"/>
  <c r="J50" i="1" s="1"/>
  <c r="G725" i="2"/>
  <c r="M50" i="1" s="1"/>
  <c r="W720" i="2"/>
  <c r="Y720" i="2" s="1"/>
  <c r="U721" i="2" s="1"/>
  <c r="W721" i="2" s="1"/>
  <c r="Y721" i="2" s="1"/>
  <c r="U722" i="2" s="1"/>
  <c r="W722" i="2" s="1"/>
  <c r="Y722" i="2" s="1"/>
  <c r="U723" i="2" s="1"/>
  <c r="W723" i="2" s="1"/>
  <c r="Y723" i="2" s="1"/>
  <c r="U724" i="2" s="1"/>
  <c r="W724" i="2" s="1"/>
  <c r="Y724" i="2" s="1"/>
  <c r="U725" i="2" s="1"/>
  <c r="W725" i="2" s="1"/>
  <c r="Y725" i="2" s="1"/>
  <c r="U726" i="2" s="1"/>
  <c r="W726" i="2" s="1"/>
  <c r="Y726" i="2" s="1"/>
  <c r="U727" i="2" s="1"/>
  <c r="W727" i="2" s="1"/>
  <c r="Y727" i="2" s="1"/>
  <c r="U728" i="2" s="1"/>
  <c r="H719" i="2"/>
  <c r="G719" i="2"/>
  <c r="U715" i="2"/>
  <c r="W715" i="2" s="1"/>
  <c r="Y715" i="2" s="1"/>
  <c r="R715" i="2"/>
  <c r="U714" i="2"/>
  <c r="W714" i="2" s="1"/>
  <c r="Y714" i="2" s="1"/>
  <c r="R714" i="2"/>
  <c r="U713" i="2"/>
  <c r="W713" i="2" s="1"/>
  <c r="Y713" i="2" s="1"/>
  <c r="R713" i="2"/>
  <c r="U712" i="2"/>
  <c r="W712" i="2" s="1"/>
  <c r="R711" i="2"/>
  <c r="G711" i="2"/>
  <c r="O73" i="1" s="1"/>
  <c r="C711" i="2"/>
  <c r="G73" i="1" s="1"/>
  <c r="C710" i="2"/>
  <c r="F73" i="1" s="1"/>
  <c r="K709" i="2"/>
  <c r="J73" i="1" s="1"/>
  <c r="G709" i="2"/>
  <c r="M73" i="1" s="1"/>
  <c r="W704" i="2"/>
  <c r="Y704" i="2" s="1"/>
  <c r="U705" i="2" s="1"/>
  <c r="W705" i="2" s="1"/>
  <c r="Y705" i="2" s="1"/>
  <c r="U706" i="2" s="1"/>
  <c r="W706" i="2" s="1"/>
  <c r="Y706" i="2" s="1"/>
  <c r="U707" i="2" s="1"/>
  <c r="W707" i="2" s="1"/>
  <c r="Y707" i="2" s="1"/>
  <c r="U708" i="2" s="1"/>
  <c r="W708" i="2" s="1"/>
  <c r="Y708" i="2" s="1"/>
  <c r="U709" i="2" s="1"/>
  <c r="W709" i="2" s="1"/>
  <c r="Y709" i="2" s="1"/>
  <c r="H703" i="2"/>
  <c r="G703" i="2"/>
  <c r="R696" i="2"/>
  <c r="C696" i="2" s="1"/>
  <c r="G695" i="2"/>
  <c r="O95" i="1" s="1"/>
  <c r="C695" i="2"/>
  <c r="G95" i="1" s="1"/>
  <c r="W693" i="2"/>
  <c r="Y693" i="2" s="1"/>
  <c r="U694" i="2" s="1"/>
  <c r="W694" i="2" s="1"/>
  <c r="Y694" i="2" s="1"/>
  <c r="U695" i="2" s="1"/>
  <c r="W695" i="2" s="1"/>
  <c r="Y695" i="2" s="1"/>
  <c r="U696" i="2" s="1"/>
  <c r="R693" i="2"/>
  <c r="K693" i="2"/>
  <c r="J95" i="1" s="1"/>
  <c r="G693" i="2"/>
  <c r="M95" i="1" s="1"/>
  <c r="R689" i="2"/>
  <c r="W688" i="2"/>
  <c r="Y688" i="2" s="1"/>
  <c r="U689" i="2" s="1"/>
  <c r="W689" i="2" s="1"/>
  <c r="Y689" i="2" s="1"/>
  <c r="U690" i="2" s="1"/>
  <c r="W690" i="2" s="1"/>
  <c r="Y690" i="2" s="1"/>
  <c r="U691" i="2" s="1"/>
  <c r="W691" i="2" s="1"/>
  <c r="Y691" i="2" s="1"/>
  <c r="U692" i="2" s="1"/>
  <c r="W692" i="2" s="1"/>
  <c r="Y692" i="2" s="1"/>
  <c r="H687" i="2"/>
  <c r="G687" i="2"/>
  <c r="W684" i="2"/>
  <c r="Y684" i="2" s="1"/>
  <c r="R683" i="2"/>
  <c r="U682" i="2"/>
  <c r="W682" i="2" s="1"/>
  <c r="Y682" i="2" s="1"/>
  <c r="U683" i="2" s="1"/>
  <c r="W683" i="2" s="1"/>
  <c r="Y683" i="2" s="1"/>
  <c r="C681" i="2"/>
  <c r="I677" i="2" s="1"/>
  <c r="K677" i="2" s="1"/>
  <c r="G680" i="2"/>
  <c r="O79" i="1" s="1"/>
  <c r="C680" i="2"/>
  <c r="G79" i="1" s="1"/>
  <c r="K678" i="2"/>
  <c r="G678" i="2"/>
  <c r="M79" i="1" s="1"/>
  <c r="W673" i="2"/>
  <c r="Y673" i="2" s="1"/>
  <c r="U674" i="2" s="1"/>
  <c r="W674" i="2" s="1"/>
  <c r="Y674" i="2" s="1"/>
  <c r="U675" i="2" s="1"/>
  <c r="W675" i="2" s="1"/>
  <c r="Y675" i="2" s="1"/>
  <c r="U676" i="2" s="1"/>
  <c r="W676" i="2" s="1"/>
  <c r="Y676" i="2" s="1"/>
  <c r="U677" i="2" s="1"/>
  <c r="W677" i="2" s="1"/>
  <c r="Y677" i="2" s="1"/>
  <c r="U678" i="2" s="1"/>
  <c r="W678" i="2" s="1"/>
  <c r="Y678" i="2" s="1"/>
  <c r="U679" i="2" s="1"/>
  <c r="W679" i="2" s="1"/>
  <c r="Y679" i="2" s="1"/>
  <c r="U680" i="2" s="1"/>
  <c r="W680" i="2" s="1"/>
  <c r="Y680" i="2" s="1"/>
  <c r="U681" i="2" s="1"/>
  <c r="H672" i="2"/>
  <c r="G672" i="2"/>
  <c r="W669" i="2"/>
  <c r="Y669" i="2" s="1"/>
  <c r="W668" i="2"/>
  <c r="Y668" i="2" s="1"/>
  <c r="U667" i="2"/>
  <c r="W667" i="2" s="1"/>
  <c r="Y667" i="2" s="1"/>
  <c r="G665" i="2"/>
  <c r="K665" i="2" s="1"/>
  <c r="C665" i="2"/>
  <c r="G59" i="1" s="1"/>
  <c r="C664" i="2"/>
  <c r="F59" i="1" s="1"/>
  <c r="K663" i="2"/>
  <c r="J59" i="1" s="1"/>
  <c r="G663" i="2"/>
  <c r="R661" i="2"/>
  <c r="R662" i="2" s="1"/>
  <c r="R663" i="2" s="1"/>
  <c r="C666" i="2"/>
  <c r="R659" i="2"/>
  <c r="W658" i="2"/>
  <c r="Y658" i="2" s="1"/>
  <c r="U659" i="2" s="1"/>
  <c r="W659" i="2" s="1"/>
  <c r="Y659" i="2" s="1"/>
  <c r="U660" i="2" s="1"/>
  <c r="W660" i="2" s="1"/>
  <c r="Y660" i="2" s="1"/>
  <c r="U661" i="2" s="1"/>
  <c r="W661" i="2" s="1"/>
  <c r="Y661" i="2" s="1"/>
  <c r="U662" i="2" s="1"/>
  <c r="W662" i="2" s="1"/>
  <c r="Y662" i="2" s="1"/>
  <c r="U663" i="2" s="1"/>
  <c r="W663" i="2" s="1"/>
  <c r="Y663" i="2" s="1"/>
  <c r="U664" i="2" s="1"/>
  <c r="W664" i="2" s="1"/>
  <c r="Y664" i="2" s="1"/>
  <c r="U665" i="2" s="1"/>
  <c r="W665" i="2" s="1"/>
  <c r="Y665" i="2" s="1"/>
  <c r="U666" i="2" s="1"/>
  <c r="H657" i="2"/>
  <c r="G657" i="2"/>
  <c r="U199" i="2"/>
  <c r="W199" i="2" s="1"/>
  <c r="Y199" i="2" s="1"/>
  <c r="U200" i="2" s="1"/>
  <c r="W200" i="2" s="1"/>
  <c r="Y200" i="2" s="1"/>
  <c r="G197" i="2"/>
  <c r="C197" i="2"/>
  <c r="I193" i="2" s="1"/>
  <c r="K193" i="2" s="1"/>
  <c r="G196" i="2"/>
  <c r="K196" i="2" s="1"/>
  <c r="C196" i="2"/>
  <c r="G45" i="1" s="1"/>
  <c r="G195" i="2"/>
  <c r="C195" i="2"/>
  <c r="F45" i="1" s="1"/>
  <c r="G194" i="2"/>
  <c r="M45" i="1" s="1"/>
  <c r="G193" i="2"/>
  <c r="L45" i="1" s="1"/>
  <c r="K189" i="2"/>
  <c r="H188" i="2"/>
  <c r="G188" i="2"/>
  <c r="R652" i="2"/>
  <c r="C648" i="2"/>
  <c r="G44" i="1" s="1"/>
  <c r="C647" i="2"/>
  <c r="F44" i="1" s="1"/>
  <c r="G646" i="2"/>
  <c r="M44" i="1" s="1"/>
  <c r="V645" i="2"/>
  <c r="V644" i="2"/>
  <c r="V643" i="2"/>
  <c r="V642" i="2"/>
  <c r="V641" i="2"/>
  <c r="W641" i="2" s="1"/>
  <c r="Y641" i="2" s="1"/>
  <c r="U642" i="2" s="1"/>
  <c r="K641" i="2"/>
  <c r="H640" i="2"/>
  <c r="G640" i="2"/>
  <c r="U634" i="2"/>
  <c r="R634" i="2"/>
  <c r="R633" i="2"/>
  <c r="C633" i="2" s="1"/>
  <c r="G632" i="2"/>
  <c r="K632" i="2" s="1"/>
  <c r="C632" i="2"/>
  <c r="G62" i="1" s="1"/>
  <c r="C631" i="2"/>
  <c r="F62" i="1" s="1"/>
  <c r="G630" i="2"/>
  <c r="M62" i="1" s="1"/>
  <c r="W625" i="2"/>
  <c r="Y625" i="2" s="1"/>
  <c r="U626" i="2" s="1"/>
  <c r="W626" i="2" s="1"/>
  <c r="Y626" i="2" s="1"/>
  <c r="U627" i="2" s="1"/>
  <c r="W627" i="2" s="1"/>
  <c r="Y627" i="2" s="1"/>
  <c r="U628" i="2" s="1"/>
  <c r="W628" i="2" s="1"/>
  <c r="Y628" i="2" s="1"/>
  <c r="U629" i="2" s="1"/>
  <c r="W629" i="2" s="1"/>
  <c r="Y629" i="2" s="1"/>
  <c r="U630" i="2" s="1"/>
  <c r="W630" i="2" s="1"/>
  <c r="Y630" i="2" s="1"/>
  <c r="U631" i="2" s="1"/>
  <c r="W631" i="2" s="1"/>
  <c r="Y631" i="2" s="1"/>
  <c r="U632" i="2" s="1"/>
  <c r="W632" i="2" s="1"/>
  <c r="Y632" i="2" s="1"/>
  <c r="U633" i="2" s="1"/>
  <c r="K625" i="2"/>
  <c r="E62" i="1" s="1"/>
  <c r="H624" i="2"/>
  <c r="G624" i="2"/>
  <c r="W621" i="2"/>
  <c r="Y621" i="2" s="1"/>
  <c r="C618" i="2"/>
  <c r="G617" i="2"/>
  <c r="C617" i="2"/>
  <c r="G43" i="1" s="1"/>
  <c r="C616" i="2"/>
  <c r="F43" i="1" s="1"/>
  <c r="G615" i="2"/>
  <c r="M43" i="1" s="1"/>
  <c r="W610" i="2"/>
  <c r="Y610" i="2"/>
  <c r="U611" i="2" s="1"/>
  <c r="W611" i="2" s="1"/>
  <c r="Y611" i="2" s="1"/>
  <c r="U612" i="2" s="1"/>
  <c r="W612" i="2" s="1"/>
  <c r="Y612" i="2" s="1"/>
  <c r="U613" i="2" s="1"/>
  <c r="W613" i="2" s="1"/>
  <c r="Y613" i="2" s="1"/>
  <c r="U614" i="2" s="1"/>
  <c r="W614" i="2" s="1"/>
  <c r="Y614" i="2" s="1"/>
  <c r="K610" i="2"/>
  <c r="K615" i="2" s="1"/>
  <c r="J43" i="1" s="1"/>
  <c r="H609" i="2"/>
  <c r="G609" i="2"/>
  <c r="C603" i="2"/>
  <c r="G602" i="2"/>
  <c r="O71" i="1" s="1"/>
  <c r="C602" i="2"/>
  <c r="G71" i="1" s="1"/>
  <c r="C601" i="2"/>
  <c r="F71" i="1" s="1"/>
  <c r="G600" i="2"/>
  <c r="M71" i="1" s="1"/>
  <c r="W597" i="2"/>
  <c r="Y597" i="2" s="1"/>
  <c r="U598" i="2" s="1"/>
  <c r="W598" i="2" s="1"/>
  <c r="Y598" i="2" s="1"/>
  <c r="U599" i="2" s="1"/>
  <c r="W599" i="2" s="1"/>
  <c r="Y599" i="2" s="1"/>
  <c r="U600" i="2" s="1"/>
  <c r="W600" i="2" s="1"/>
  <c r="Y600" i="2" s="1"/>
  <c r="U601" i="2" s="1"/>
  <c r="W601" i="2" s="1"/>
  <c r="Y601" i="2" s="1"/>
  <c r="U602" i="2" s="1"/>
  <c r="W602" i="2" s="1"/>
  <c r="Y602" i="2" s="1"/>
  <c r="U603" i="2" s="1"/>
  <c r="W595" i="2"/>
  <c r="Y595" i="2" s="1"/>
  <c r="U596" i="2" s="1"/>
  <c r="W596" i="2" s="1"/>
  <c r="Y596" i="2" s="1"/>
  <c r="H594" i="2"/>
  <c r="G594" i="2"/>
  <c r="C587" i="2"/>
  <c r="C585" i="2"/>
  <c r="F67" i="1" s="1"/>
  <c r="G584" i="2"/>
  <c r="M67" i="1" s="1"/>
  <c r="W579" i="2"/>
  <c r="Y579" i="2" s="1"/>
  <c r="U580" i="2" s="1"/>
  <c r="W580" i="2" s="1"/>
  <c r="Y580" i="2" s="1"/>
  <c r="U581" i="2" s="1"/>
  <c r="W581" i="2" s="1"/>
  <c r="Y581" i="2" s="1"/>
  <c r="U582" i="2" s="1"/>
  <c r="W582" i="2" s="1"/>
  <c r="Y582" i="2" s="1"/>
  <c r="U583" i="2" s="1"/>
  <c r="W583" i="2" s="1"/>
  <c r="Y583" i="2" s="1"/>
  <c r="U584" i="2" s="1"/>
  <c r="W584" i="2" s="1"/>
  <c r="Y584" i="2" s="1"/>
  <c r="U585" i="2" s="1"/>
  <c r="W585" i="2" s="1"/>
  <c r="Y585" i="2" s="1"/>
  <c r="U586" i="2" s="1"/>
  <c r="W586" i="2" s="1"/>
  <c r="Y586" i="2" s="1"/>
  <c r="U587" i="2" s="1"/>
  <c r="K579" i="2"/>
  <c r="K583" i="2" s="1"/>
  <c r="H578" i="2"/>
  <c r="G578" i="2"/>
  <c r="W575" i="2"/>
  <c r="Y575" i="2" s="1"/>
  <c r="R575" i="2"/>
  <c r="W574" i="2"/>
  <c r="Y574" i="2" s="1"/>
  <c r="R574" i="2"/>
  <c r="W573" i="2"/>
  <c r="Y573" i="2" s="1"/>
  <c r="R573" i="2"/>
  <c r="G571" i="2"/>
  <c r="K571" i="2" s="1"/>
  <c r="C570" i="2"/>
  <c r="F41" i="1" s="1"/>
  <c r="G569" i="2"/>
  <c r="M41" i="1" s="1"/>
  <c r="W564" i="2"/>
  <c r="Y564" i="2" s="1"/>
  <c r="U565" i="2" s="1"/>
  <c r="W565" i="2" s="1"/>
  <c r="Y565" i="2" s="1"/>
  <c r="U566" i="2" s="1"/>
  <c r="W566" i="2" s="1"/>
  <c r="Y566" i="2" s="1"/>
  <c r="U567" i="2" s="1"/>
  <c r="W567" i="2" s="1"/>
  <c r="Y567" i="2" s="1"/>
  <c r="U568" i="2" s="1"/>
  <c r="W568" i="2" s="1"/>
  <c r="Y568" i="2" s="1"/>
  <c r="U569" i="2" s="1"/>
  <c r="W569" i="2" s="1"/>
  <c r="Y569" i="2" s="1"/>
  <c r="U570" i="2" s="1"/>
  <c r="W570" i="2" s="1"/>
  <c r="Y570" i="2" s="1"/>
  <c r="U571" i="2" s="1"/>
  <c r="W571" i="2" s="1"/>
  <c r="Y571" i="2" s="1"/>
  <c r="U572" i="2" s="1"/>
  <c r="R564" i="2"/>
  <c r="R565" i="2" s="1"/>
  <c r="R566" i="2" s="1"/>
  <c r="R567" i="2" s="1"/>
  <c r="R568" i="2" s="1"/>
  <c r="R569" i="2" s="1"/>
  <c r="R570" i="2" s="1"/>
  <c r="R571" i="2" s="1"/>
  <c r="R572" i="2" s="1"/>
  <c r="C572" i="2" s="1"/>
  <c r="I568" i="2" s="1"/>
  <c r="I41" i="1" s="1"/>
  <c r="K564" i="2"/>
  <c r="K569" i="2" s="1"/>
  <c r="J41" i="1" s="1"/>
  <c r="H563" i="2"/>
  <c r="G563" i="2"/>
  <c r="U558" i="2"/>
  <c r="W558" i="2" s="1"/>
  <c r="Y558" i="2" s="1"/>
  <c r="U559" i="2" s="1"/>
  <c r="W559" i="2" s="1"/>
  <c r="Y559" i="2" s="1"/>
  <c r="U560" i="2" s="1"/>
  <c r="W560" i="2" s="1"/>
  <c r="Y560" i="2" s="1"/>
  <c r="G556" i="2"/>
  <c r="W555" i="2"/>
  <c r="Y555" i="2" s="1"/>
  <c r="U556" i="2" s="1"/>
  <c r="W556" i="2" s="1"/>
  <c r="Y556" i="2" s="1"/>
  <c r="U557" i="2" s="1"/>
  <c r="R555" i="2"/>
  <c r="C557" i="2"/>
  <c r="C555" i="2"/>
  <c r="F97" i="1" s="1"/>
  <c r="W554" i="2"/>
  <c r="Y554" i="2" s="1"/>
  <c r="G554" i="2"/>
  <c r="M97" i="1" s="1"/>
  <c r="W551" i="2"/>
  <c r="Y551" i="2" s="1"/>
  <c r="U552" i="2" s="1"/>
  <c r="W552" i="2" s="1"/>
  <c r="Y552" i="2" s="1"/>
  <c r="U553" i="2" s="1"/>
  <c r="W553" i="2" s="1"/>
  <c r="Y553" i="2" s="1"/>
  <c r="U554" i="2" s="1"/>
  <c r="W550" i="2"/>
  <c r="Y550" i="2" s="1"/>
  <c r="W549" i="2"/>
  <c r="Y549" i="2" s="1"/>
  <c r="K554" i="2"/>
  <c r="J97" i="1" s="1"/>
  <c r="H548" i="2"/>
  <c r="G548" i="2"/>
  <c r="C542" i="2"/>
  <c r="W543" i="2"/>
  <c r="Y543" i="2" s="1"/>
  <c r="W544" i="2"/>
  <c r="Y544" i="2" s="1"/>
  <c r="W545" i="2"/>
  <c r="Y545" i="2" s="1"/>
  <c r="G541" i="2"/>
  <c r="K541" i="2" s="1"/>
  <c r="C541" i="2"/>
  <c r="G36" i="1" s="1"/>
  <c r="C540" i="2"/>
  <c r="G539" i="2"/>
  <c r="M36" i="1" s="1"/>
  <c r="R536" i="2"/>
  <c r="W534" i="2"/>
  <c r="Y534" i="2" s="1"/>
  <c r="U535" i="2" s="1"/>
  <c r="W535" i="2" s="1"/>
  <c r="Y535" i="2" s="1"/>
  <c r="U536" i="2" s="1"/>
  <c r="W536" i="2" s="1"/>
  <c r="Y536" i="2" s="1"/>
  <c r="U537" i="2" s="1"/>
  <c r="W537" i="2" s="1"/>
  <c r="Y537" i="2" s="1"/>
  <c r="U538" i="2" s="1"/>
  <c r="W538" i="2" s="1"/>
  <c r="Y538" i="2" s="1"/>
  <c r="U539" i="2" s="1"/>
  <c r="W539" i="2" s="1"/>
  <c r="Y539" i="2" s="1"/>
  <c r="U540" i="2" s="1"/>
  <c r="H533" i="2"/>
  <c r="G533" i="2"/>
  <c r="C527" i="2"/>
  <c r="G526" i="2"/>
  <c r="K526" i="2" s="1"/>
  <c r="C526" i="2"/>
  <c r="C525" i="2"/>
  <c r="F33" i="1" s="1"/>
  <c r="K524" i="2"/>
  <c r="J33" i="1" s="1"/>
  <c r="G524" i="2"/>
  <c r="W519" i="2"/>
  <c r="Y519" i="2" s="1"/>
  <c r="U520" i="2" s="1"/>
  <c r="W520" i="2" s="1"/>
  <c r="Y520" i="2" s="1"/>
  <c r="U521" i="2" s="1"/>
  <c r="W521" i="2" s="1"/>
  <c r="Y521" i="2" s="1"/>
  <c r="U522" i="2" s="1"/>
  <c r="W522" i="2" s="1"/>
  <c r="Y522" i="2" s="1"/>
  <c r="U523" i="2" s="1"/>
  <c r="W523" i="2" s="1"/>
  <c r="Y523" i="2" s="1"/>
  <c r="U524" i="2" s="1"/>
  <c r="W524" i="2" s="1"/>
  <c r="Y524" i="2" s="1"/>
  <c r="U525" i="2" s="1"/>
  <c r="W525" i="2" s="1"/>
  <c r="Y525" i="2" s="1"/>
  <c r="U526" i="2" s="1"/>
  <c r="W526" i="2" s="1"/>
  <c r="Y526" i="2" s="1"/>
  <c r="U527" i="2" s="1"/>
  <c r="H518" i="2"/>
  <c r="G518" i="2"/>
  <c r="U513" i="2"/>
  <c r="W513" i="2" s="1"/>
  <c r="Y513" i="2" s="1"/>
  <c r="U514" i="2" s="1"/>
  <c r="W514" i="2" s="1"/>
  <c r="Y514" i="2" s="1"/>
  <c r="U515" i="2" s="1"/>
  <c r="W515" i="2" s="1"/>
  <c r="Y515" i="2" s="1"/>
  <c r="C512" i="2"/>
  <c r="G511" i="2"/>
  <c r="K511" i="2" s="1"/>
  <c r="C511" i="2"/>
  <c r="G35" i="1" s="1"/>
  <c r="C510" i="2"/>
  <c r="F35" i="1" s="1"/>
  <c r="G509" i="2"/>
  <c r="M35" i="1" s="1"/>
  <c r="W504" i="2"/>
  <c r="Y504" i="2" s="1"/>
  <c r="U505" i="2" s="1"/>
  <c r="W505" i="2" s="1"/>
  <c r="Y505" i="2" s="1"/>
  <c r="U506" i="2" s="1"/>
  <c r="W506" i="2" s="1"/>
  <c r="Y506" i="2" s="1"/>
  <c r="U507" i="2" s="1"/>
  <c r="W507" i="2" s="1"/>
  <c r="Y507" i="2" s="1"/>
  <c r="U508" i="2" s="1"/>
  <c r="W508" i="2" s="1"/>
  <c r="Y508" i="2" s="1"/>
  <c r="U509" i="2" s="1"/>
  <c r="W509" i="2" s="1"/>
  <c r="Y509" i="2" s="1"/>
  <c r="U510" i="2" s="1"/>
  <c r="W510" i="2" s="1"/>
  <c r="Y510" i="2" s="1"/>
  <c r="U511" i="2" s="1"/>
  <c r="W511" i="2" s="1"/>
  <c r="Y511" i="2" s="1"/>
  <c r="U512" i="2" s="1"/>
  <c r="H503" i="2"/>
  <c r="G503" i="2"/>
  <c r="W500" i="2"/>
  <c r="Y500" i="2" s="1"/>
  <c r="W499" i="2"/>
  <c r="Y499" i="2" s="1"/>
  <c r="W498" i="2"/>
  <c r="Y498" i="2" s="1"/>
  <c r="C497" i="2"/>
  <c r="G494" i="2"/>
  <c r="M34" i="1" s="1"/>
  <c r="W489" i="2"/>
  <c r="Y489" i="2" s="1"/>
  <c r="U490" i="2" s="1"/>
  <c r="W490" i="2" s="1"/>
  <c r="Y490" i="2" s="1"/>
  <c r="U491" i="2" s="1"/>
  <c r="W491" i="2" s="1"/>
  <c r="Y491" i="2" s="1"/>
  <c r="U492" i="2" s="1"/>
  <c r="W492" i="2" s="1"/>
  <c r="Y492" i="2" s="1"/>
  <c r="U493" i="2" s="1"/>
  <c r="W493" i="2" s="1"/>
  <c r="Y493" i="2" s="1"/>
  <c r="U494" i="2" s="1"/>
  <c r="W494" i="2" s="1"/>
  <c r="Y494" i="2" s="1"/>
  <c r="U495" i="2" s="1"/>
  <c r="W495" i="2" s="1"/>
  <c r="Y495" i="2" s="1"/>
  <c r="U496" i="2" s="1"/>
  <c r="W496" i="2" s="1"/>
  <c r="Y496" i="2" s="1"/>
  <c r="U497" i="2" s="1"/>
  <c r="K489" i="2"/>
  <c r="H488" i="2"/>
  <c r="G488" i="2"/>
  <c r="W485" i="2"/>
  <c r="Y485" i="2" s="1"/>
  <c r="W484" i="2"/>
  <c r="Y484" i="2" s="1"/>
  <c r="U483" i="2"/>
  <c r="W483" i="2" s="1"/>
  <c r="Y483" i="2" s="1"/>
  <c r="C482" i="2"/>
  <c r="G481" i="2"/>
  <c r="O26" i="1" s="1"/>
  <c r="C480" i="2"/>
  <c r="F26" i="1" s="1"/>
  <c r="G479" i="2"/>
  <c r="M26" i="1" s="1"/>
  <c r="W474" i="2"/>
  <c r="Y474" i="2" s="1"/>
  <c r="U475" i="2" s="1"/>
  <c r="W475" i="2" s="1"/>
  <c r="Y475" i="2" s="1"/>
  <c r="U476" i="2" s="1"/>
  <c r="W476" i="2" s="1"/>
  <c r="Y476" i="2" s="1"/>
  <c r="U477" i="2" s="1"/>
  <c r="W477" i="2" s="1"/>
  <c r="Y477" i="2" s="1"/>
  <c r="U478" i="2" s="1"/>
  <c r="W478" i="2" s="1"/>
  <c r="Y478" i="2" s="1"/>
  <c r="U479" i="2" s="1"/>
  <c r="W479" i="2" s="1"/>
  <c r="Y479" i="2" s="1"/>
  <c r="U480" i="2" s="1"/>
  <c r="W480" i="2" s="1"/>
  <c r="Y480" i="2" s="1"/>
  <c r="U481" i="2" s="1"/>
  <c r="W481" i="2" s="1"/>
  <c r="Y481" i="2" s="1"/>
  <c r="U482" i="2" s="1"/>
  <c r="K474" i="2"/>
  <c r="K479" i="2" s="1"/>
  <c r="J26" i="1" s="1"/>
  <c r="H473" i="2"/>
  <c r="G473" i="2"/>
  <c r="W470" i="2"/>
  <c r="Y470" i="2" s="1"/>
  <c r="W469" i="2"/>
  <c r="Y469" i="2" s="1"/>
  <c r="R469" i="2"/>
  <c r="C465" i="2"/>
  <c r="F28" i="1" s="1"/>
  <c r="G464" i="2"/>
  <c r="M28" i="1" s="1"/>
  <c r="R462" i="2"/>
  <c r="R463" i="2" s="1"/>
  <c r="R464" i="2" s="1"/>
  <c r="R465" i="2" s="1"/>
  <c r="R460" i="2"/>
  <c r="W459" i="2"/>
  <c r="Y459" i="2" s="1"/>
  <c r="U460" i="2" s="1"/>
  <c r="W460" i="2" s="1"/>
  <c r="Y460" i="2" s="1"/>
  <c r="U461" i="2" s="1"/>
  <c r="W461" i="2" s="1"/>
  <c r="Y461" i="2" s="1"/>
  <c r="U462" i="2" s="1"/>
  <c r="W462" i="2" s="1"/>
  <c r="Y462" i="2" s="1"/>
  <c r="U463" i="2" s="1"/>
  <c r="W463" i="2" s="1"/>
  <c r="Y463" i="2" s="1"/>
  <c r="U464" i="2" s="1"/>
  <c r="W464" i="2" s="1"/>
  <c r="Y464" i="2" s="1"/>
  <c r="U465" i="2" s="1"/>
  <c r="W465" i="2" s="1"/>
  <c r="Y465" i="2" s="1"/>
  <c r="U466" i="2" s="1"/>
  <c r="W466" i="2" s="1"/>
  <c r="Y466" i="2" s="1"/>
  <c r="U467" i="2" s="1"/>
  <c r="K459" i="2"/>
  <c r="E28" i="1" s="1"/>
  <c r="H458" i="2"/>
  <c r="G458" i="2"/>
  <c r="W455" i="2"/>
  <c r="Y455" i="2" s="1"/>
  <c r="C452" i="2"/>
  <c r="G451" i="2"/>
  <c r="C450" i="2"/>
  <c r="F27" i="1" s="1"/>
  <c r="G449" i="2"/>
  <c r="M27" i="1" s="1"/>
  <c r="W444" i="2"/>
  <c r="Y444" i="2" s="1"/>
  <c r="U445" i="2" s="1"/>
  <c r="W445" i="2" s="1"/>
  <c r="Y445" i="2" s="1"/>
  <c r="U446" i="2" s="1"/>
  <c r="W446" i="2" s="1"/>
  <c r="Y446" i="2" s="1"/>
  <c r="U447" i="2" s="1"/>
  <c r="W447" i="2" s="1"/>
  <c r="Y447" i="2" s="1"/>
  <c r="U448" i="2" s="1"/>
  <c r="W448" i="2" s="1"/>
  <c r="Y448" i="2" s="1"/>
  <c r="U449" i="2" s="1"/>
  <c r="W449" i="2" s="1"/>
  <c r="Y449" i="2" s="1"/>
  <c r="U450" i="2" s="1"/>
  <c r="W450" i="2" s="1"/>
  <c r="Y450" i="2" s="1"/>
  <c r="U451" i="2" s="1"/>
  <c r="W451" i="2" s="1"/>
  <c r="Y451" i="2" s="1"/>
  <c r="U452" i="2" s="1"/>
  <c r="K444" i="2"/>
  <c r="H443" i="2"/>
  <c r="G443" i="2"/>
  <c r="W440" i="2"/>
  <c r="Y440" i="2" s="1"/>
  <c r="R440" i="2"/>
  <c r="R439" i="2"/>
  <c r="C437" i="2"/>
  <c r="G436" i="2"/>
  <c r="C435" i="2"/>
  <c r="F29" i="1" s="1"/>
  <c r="G434" i="2"/>
  <c r="M29" i="1" s="1"/>
  <c r="R430" i="2"/>
  <c r="W429" i="2"/>
  <c r="Y429" i="2" s="1"/>
  <c r="U430" i="2" s="1"/>
  <c r="W430" i="2" s="1"/>
  <c r="Y430" i="2" s="1"/>
  <c r="U431" i="2" s="1"/>
  <c r="W431" i="2" s="1"/>
  <c r="Y431" i="2" s="1"/>
  <c r="U432" i="2" s="1"/>
  <c r="W432" i="2" s="1"/>
  <c r="Y432" i="2" s="1"/>
  <c r="U433" i="2" s="1"/>
  <c r="W433" i="2" s="1"/>
  <c r="Y433" i="2" s="1"/>
  <c r="U434" i="2" s="1"/>
  <c r="W434" i="2" s="1"/>
  <c r="Y434" i="2" s="1"/>
  <c r="U435" i="2" s="1"/>
  <c r="W435" i="2" s="1"/>
  <c r="Y435" i="2" s="1"/>
  <c r="U436" i="2" s="1"/>
  <c r="W436" i="2" s="1"/>
  <c r="Y436" i="2" s="1"/>
  <c r="U437" i="2" s="1"/>
  <c r="K429" i="2"/>
  <c r="K434" i="2" s="1"/>
  <c r="J29" i="1" s="1"/>
  <c r="H428" i="2"/>
  <c r="G428" i="2"/>
  <c r="G421" i="2"/>
  <c r="K421" i="2" s="1"/>
  <c r="R420" i="2"/>
  <c r="R421" i="2" s="1"/>
  <c r="R422" i="2" s="1"/>
  <c r="C422" i="2" s="1"/>
  <c r="I418" i="2" s="1"/>
  <c r="C420" i="2"/>
  <c r="F84" i="1" s="1"/>
  <c r="R419" i="2"/>
  <c r="G419" i="2"/>
  <c r="R418" i="2"/>
  <c r="R417" i="2"/>
  <c r="W414" i="2"/>
  <c r="Y414" i="2" s="1"/>
  <c r="U415" i="2" s="1"/>
  <c r="W415" i="2" s="1"/>
  <c r="Y415" i="2" s="1"/>
  <c r="U416" i="2" s="1"/>
  <c r="W416" i="2" s="1"/>
  <c r="Y416" i="2" s="1"/>
  <c r="U417" i="2" s="1"/>
  <c r="W417" i="2" s="1"/>
  <c r="Y417" i="2" s="1"/>
  <c r="U418" i="2" s="1"/>
  <c r="W418" i="2" s="1"/>
  <c r="Y418" i="2" s="1"/>
  <c r="U419" i="2" s="1"/>
  <c r="W419" i="2" s="1"/>
  <c r="Y419" i="2" s="1"/>
  <c r="U420" i="2" s="1"/>
  <c r="W420" i="2" s="1"/>
  <c r="Y420" i="2" s="1"/>
  <c r="U421" i="2" s="1"/>
  <c r="W421" i="2" s="1"/>
  <c r="Y421" i="2" s="1"/>
  <c r="U422" i="2" s="1"/>
  <c r="K414" i="2"/>
  <c r="K419" i="2" s="1"/>
  <c r="J84" i="1" s="1"/>
  <c r="H413" i="2"/>
  <c r="G413" i="2"/>
  <c r="R410" i="2"/>
  <c r="R409" i="2"/>
  <c r="R408" i="2"/>
  <c r="G406" i="2"/>
  <c r="C405" i="2"/>
  <c r="F83" i="1" s="1"/>
  <c r="G404" i="2"/>
  <c r="W399" i="2"/>
  <c r="Y399" i="2" s="1"/>
  <c r="U400" i="2" s="1"/>
  <c r="W400" i="2" s="1"/>
  <c r="Y400" i="2" s="1"/>
  <c r="U401" i="2" s="1"/>
  <c r="W401" i="2" s="1"/>
  <c r="Y401" i="2" s="1"/>
  <c r="U402" i="2" s="1"/>
  <c r="W402" i="2" s="1"/>
  <c r="Y402" i="2" s="1"/>
  <c r="U403" i="2" s="1"/>
  <c r="W403" i="2" s="1"/>
  <c r="Y403" i="2" s="1"/>
  <c r="U404" i="2" s="1"/>
  <c r="W404" i="2" s="1"/>
  <c r="Y404" i="2" s="1"/>
  <c r="U405" i="2" s="1"/>
  <c r="W405" i="2" s="1"/>
  <c r="Y405" i="2" s="1"/>
  <c r="U406" i="2" s="1"/>
  <c r="W406" i="2" s="1"/>
  <c r="Y406" i="2" s="1"/>
  <c r="U407" i="2" s="1"/>
  <c r="R399" i="2"/>
  <c r="R400" i="2" s="1"/>
  <c r="R401" i="2" s="1"/>
  <c r="R402" i="2" s="1"/>
  <c r="R403" i="2" s="1"/>
  <c r="R404" i="2" s="1"/>
  <c r="R405" i="2" s="1"/>
  <c r="R406" i="2" s="1"/>
  <c r="R407" i="2" s="1"/>
  <c r="C407" i="2" s="1"/>
  <c r="K399" i="2"/>
  <c r="H398" i="2"/>
  <c r="G398" i="2"/>
  <c r="U394" i="2"/>
  <c r="W394" i="2" s="1"/>
  <c r="Y394" i="2" s="1"/>
  <c r="R394" i="2"/>
  <c r="U393" i="2"/>
  <c r="W393" i="2" s="1"/>
  <c r="Y393" i="2" s="1"/>
  <c r="R393" i="2"/>
  <c r="U392" i="2"/>
  <c r="W392" i="2" s="1"/>
  <c r="Y392" i="2" s="1"/>
  <c r="R392" i="2"/>
  <c r="U391" i="2"/>
  <c r="G387" i="2" s="1"/>
  <c r="L54" i="1" s="1"/>
  <c r="G390" i="2"/>
  <c r="O54" i="1" s="1"/>
  <c r="C390" i="2"/>
  <c r="G54" i="1" s="1"/>
  <c r="R389" i="2"/>
  <c r="R390" i="2" s="1"/>
  <c r="R391" i="2" s="1"/>
  <c r="C391" i="2" s="1"/>
  <c r="C389" i="2"/>
  <c r="F54" i="1" s="1"/>
  <c r="K388" i="2"/>
  <c r="J54" i="1" s="1"/>
  <c r="G388" i="2"/>
  <c r="M54" i="1" s="1"/>
  <c r="R386" i="2"/>
  <c r="R387" i="2" s="1"/>
  <c r="W383" i="2"/>
  <c r="Y383" i="2" s="1"/>
  <c r="U384" i="2" s="1"/>
  <c r="W384" i="2" s="1"/>
  <c r="Y384" i="2" s="1"/>
  <c r="U385" i="2" s="1"/>
  <c r="W385" i="2" s="1"/>
  <c r="Y385" i="2" s="1"/>
  <c r="U386" i="2" s="1"/>
  <c r="W386" i="2" s="1"/>
  <c r="Y386" i="2" s="1"/>
  <c r="U387" i="2" s="1"/>
  <c r="W387" i="2" s="1"/>
  <c r="Y387" i="2" s="1"/>
  <c r="U388" i="2" s="1"/>
  <c r="W388" i="2" s="1"/>
  <c r="Y388" i="2" s="1"/>
  <c r="H382" i="2"/>
  <c r="G382" i="2"/>
  <c r="W379" i="2"/>
  <c r="Y379" i="2" s="1"/>
  <c r="R379" i="2"/>
  <c r="W378" i="2"/>
  <c r="Y378" i="2" s="1"/>
  <c r="R378" i="2"/>
  <c r="W377" i="2"/>
  <c r="Y377" i="2" s="1"/>
  <c r="R377" i="2"/>
  <c r="G375" i="2"/>
  <c r="K375" i="2" s="1"/>
  <c r="C375" i="2"/>
  <c r="G49" i="1" s="1"/>
  <c r="C374" i="2"/>
  <c r="F49" i="1" s="1"/>
  <c r="G373" i="2"/>
  <c r="M49" i="1" s="1"/>
  <c r="W368" i="2"/>
  <c r="Y368" i="2" s="1"/>
  <c r="U369" i="2" s="1"/>
  <c r="W369" i="2" s="1"/>
  <c r="Y369" i="2" s="1"/>
  <c r="U370" i="2" s="1"/>
  <c r="W370" i="2" s="1"/>
  <c r="Y370" i="2" s="1"/>
  <c r="U371" i="2" s="1"/>
  <c r="W371" i="2" s="1"/>
  <c r="Y371" i="2" s="1"/>
  <c r="U372" i="2" s="1"/>
  <c r="W372" i="2" s="1"/>
  <c r="Y372" i="2" s="1"/>
  <c r="U373" i="2" s="1"/>
  <c r="W373" i="2" s="1"/>
  <c r="Y373" i="2" s="1"/>
  <c r="U374" i="2" s="1"/>
  <c r="W374" i="2" s="1"/>
  <c r="Y374" i="2" s="1"/>
  <c r="U375" i="2" s="1"/>
  <c r="W375" i="2" s="1"/>
  <c r="Y375" i="2" s="1"/>
  <c r="U376" i="2" s="1"/>
  <c r="R368" i="2"/>
  <c r="R369" i="2" s="1"/>
  <c r="R370" i="2" s="1"/>
  <c r="R371" i="2" s="1"/>
  <c r="R372" i="2" s="1"/>
  <c r="R373" i="2" s="1"/>
  <c r="R374" i="2" s="1"/>
  <c r="R375" i="2" s="1"/>
  <c r="R376" i="2" s="1"/>
  <c r="C376" i="2" s="1"/>
  <c r="I372" i="2" s="1"/>
  <c r="I49" i="1" s="1"/>
  <c r="K373" i="2"/>
  <c r="J49" i="1" s="1"/>
  <c r="H367" i="2"/>
  <c r="G367" i="2"/>
  <c r="W364" i="2"/>
  <c r="Y364" i="2" s="1"/>
  <c r="R363" i="2"/>
  <c r="R362" i="2"/>
  <c r="G360" i="2"/>
  <c r="O52" i="1" s="1"/>
  <c r="C360" i="2"/>
  <c r="G52" i="1" s="1"/>
  <c r="C359" i="2"/>
  <c r="F52" i="1" s="1"/>
  <c r="G358" i="2"/>
  <c r="M52" i="1" s="1"/>
  <c r="W353" i="2"/>
  <c r="Y353" i="2" s="1"/>
  <c r="U354" i="2" s="1"/>
  <c r="W354" i="2" s="1"/>
  <c r="Y354" i="2" s="1"/>
  <c r="U355" i="2" s="1"/>
  <c r="W355" i="2" s="1"/>
  <c r="Y355" i="2" s="1"/>
  <c r="U356" i="2" s="1"/>
  <c r="W356" i="2" s="1"/>
  <c r="Y356" i="2" s="1"/>
  <c r="U357" i="2" s="1"/>
  <c r="W357" i="2" s="1"/>
  <c r="Y357" i="2" s="1"/>
  <c r="U358" i="2" s="1"/>
  <c r="W358" i="2" s="1"/>
  <c r="Y358" i="2" s="1"/>
  <c r="U359" i="2" s="1"/>
  <c r="W359" i="2" s="1"/>
  <c r="Y359" i="2" s="1"/>
  <c r="U360" i="2" s="1"/>
  <c r="W360" i="2" s="1"/>
  <c r="Y360" i="2" s="1"/>
  <c r="U361" i="2" s="1"/>
  <c r="R353" i="2"/>
  <c r="R354" i="2" s="1"/>
  <c r="R355" i="2" s="1"/>
  <c r="R356" i="2" s="1"/>
  <c r="R357" i="2" s="1"/>
  <c r="R358" i="2" s="1"/>
  <c r="R359" i="2" s="1"/>
  <c r="R360" i="2" s="1"/>
  <c r="R361" i="2" s="1"/>
  <c r="C361" i="2" s="1"/>
  <c r="K358" i="2"/>
  <c r="J52" i="1" s="1"/>
  <c r="H352" i="2"/>
  <c r="G352" i="2"/>
  <c r="W349" i="2"/>
  <c r="Y349" i="2" s="1"/>
  <c r="R349" i="2"/>
  <c r="R348" i="2"/>
  <c r="R347" i="2"/>
  <c r="G345" i="2"/>
  <c r="O51" i="1" s="1"/>
  <c r="C345" i="2"/>
  <c r="G51" i="1" s="1"/>
  <c r="C344" i="2"/>
  <c r="F51" i="1" s="1"/>
  <c r="G343" i="2"/>
  <c r="M51" i="1" s="1"/>
  <c r="W338" i="2"/>
  <c r="Y338" i="2" s="1"/>
  <c r="U339" i="2" s="1"/>
  <c r="W339" i="2" s="1"/>
  <c r="Y339" i="2" s="1"/>
  <c r="U340" i="2" s="1"/>
  <c r="W340" i="2" s="1"/>
  <c r="Y340" i="2" s="1"/>
  <c r="U341" i="2" s="1"/>
  <c r="W341" i="2" s="1"/>
  <c r="Y341" i="2" s="1"/>
  <c r="U342" i="2" s="1"/>
  <c r="W342" i="2" s="1"/>
  <c r="Y342" i="2" s="1"/>
  <c r="U343" i="2" s="1"/>
  <c r="W343" i="2" s="1"/>
  <c r="Y343" i="2" s="1"/>
  <c r="U344" i="2" s="1"/>
  <c r="W344" i="2" s="1"/>
  <c r="Y344" i="2" s="1"/>
  <c r="R338" i="2"/>
  <c r="R339" i="2" s="1"/>
  <c r="R340" i="2" s="1"/>
  <c r="R341" i="2" s="1"/>
  <c r="R342" i="2" s="1"/>
  <c r="R343" i="2" s="1"/>
  <c r="R344" i="2" s="1"/>
  <c r="R345" i="2" s="1"/>
  <c r="R346" i="2" s="1"/>
  <c r="C346" i="2" s="1"/>
  <c r="K342" i="2" s="1"/>
  <c r="K343" i="2"/>
  <c r="J51" i="1" s="1"/>
  <c r="H337" i="2"/>
  <c r="G337" i="2"/>
  <c r="W334" i="2"/>
  <c r="Y334" i="2" s="1"/>
  <c r="R334" i="2"/>
  <c r="W333" i="2"/>
  <c r="Y333" i="2" s="1"/>
  <c r="R333" i="2"/>
  <c r="W332" i="2"/>
  <c r="Y332" i="2" s="1"/>
  <c r="R332" i="2"/>
  <c r="G330" i="2"/>
  <c r="C330" i="2"/>
  <c r="G55" i="1" s="1"/>
  <c r="C329" i="2"/>
  <c r="F55" i="1" s="1"/>
  <c r="G328" i="2"/>
  <c r="M55" i="1" s="1"/>
  <c r="W323" i="2"/>
  <c r="Y323" i="2" s="1"/>
  <c r="U324" i="2" s="1"/>
  <c r="W324" i="2" s="1"/>
  <c r="Y324" i="2" s="1"/>
  <c r="U325" i="2" s="1"/>
  <c r="W325" i="2" s="1"/>
  <c r="Y325" i="2" s="1"/>
  <c r="U326" i="2" s="1"/>
  <c r="W326" i="2" s="1"/>
  <c r="Y326" i="2" s="1"/>
  <c r="U327" i="2" s="1"/>
  <c r="W327" i="2" s="1"/>
  <c r="Y327" i="2" s="1"/>
  <c r="U328" i="2" s="1"/>
  <c r="W328" i="2" s="1"/>
  <c r="Y328" i="2" s="1"/>
  <c r="U329" i="2" s="1"/>
  <c r="W329" i="2" s="1"/>
  <c r="Y329" i="2" s="1"/>
  <c r="U330" i="2" s="1"/>
  <c r="W330" i="2" s="1"/>
  <c r="Y330" i="2" s="1"/>
  <c r="U331" i="2" s="1"/>
  <c r="G327" i="2" s="1"/>
  <c r="L55" i="1" s="1"/>
  <c r="R323" i="2"/>
  <c r="R324" i="2" s="1"/>
  <c r="R325" i="2" s="1"/>
  <c r="R326" i="2" s="1"/>
  <c r="R327" i="2" s="1"/>
  <c r="R328" i="2" s="1"/>
  <c r="R329" i="2" s="1"/>
  <c r="R330" i="2" s="1"/>
  <c r="R331" i="2" s="1"/>
  <c r="C331" i="2" s="1"/>
  <c r="I55" i="1" s="1"/>
  <c r="K323" i="2"/>
  <c r="K328" i="2" s="1"/>
  <c r="J55" i="1" s="1"/>
  <c r="H322" i="2"/>
  <c r="G322" i="2"/>
  <c r="W319" i="2"/>
  <c r="Y319" i="2" s="1"/>
  <c r="W318" i="2"/>
  <c r="Y318" i="2" s="1"/>
  <c r="W317" i="2"/>
  <c r="Y317" i="2" s="1"/>
  <c r="G315" i="2"/>
  <c r="K315" i="2" s="1"/>
  <c r="G313" i="2"/>
  <c r="M66" i="1" s="1"/>
  <c r="W308" i="2"/>
  <c r="Y308" i="2" s="1"/>
  <c r="U309" i="2" s="1"/>
  <c r="W309" i="2" s="1"/>
  <c r="Y309" i="2" s="1"/>
  <c r="U310" i="2" s="1"/>
  <c r="W310" i="2" s="1"/>
  <c r="Y310" i="2" s="1"/>
  <c r="U311" i="2" s="1"/>
  <c r="W311" i="2" s="1"/>
  <c r="Y311" i="2" s="1"/>
  <c r="U312" i="2" s="1"/>
  <c r="W312" i="2" s="1"/>
  <c r="Y312" i="2" s="1"/>
  <c r="U313" i="2" s="1"/>
  <c r="W313" i="2" s="1"/>
  <c r="Y313" i="2" s="1"/>
  <c r="U314" i="2" s="1"/>
  <c r="W314" i="2" s="1"/>
  <c r="Y314" i="2" s="1"/>
  <c r="U315" i="2" s="1"/>
  <c r="W315" i="2" s="1"/>
  <c r="Y315" i="2" s="1"/>
  <c r="U316" i="2" s="1"/>
  <c r="G312" i="2" s="1"/>
  <c r="L66" i="1" s="1"/>
  <c r="R308" i="2"/>
  <c r="R309" i="2" s="1"/>
  <c r="R310" i="2" s="1"/>
  <c r="R311" i="2" s="1"/>
  <c r="R312" i="2" s="1"/>
  <c r="R313" i="2" s="1"/>
  <c r="R314" i="2" s="1"/>
  <c r="R315" i="2" s="1"/>
  <c r="R316" i="2" s="1"/>
  <c r="C316" i="2" s="1"/>
  <c r="K308" i="2"/>
  <c r="K313" i="2" s="1"/>
  <c r="J66" i="1" s="1"/>
  <c r="H307" i="2"/>
  <c r="G307" i="2"/>
  <c r="G298" i="2"/>
  <c r="M60" i="1" s="1"/>
  <c r="P295" i="2"/>
  <c r="W293" i="2"/>
  <c r="Y293" i="2" s="1"/>
  <c r="U294" i="2" s="1"/>
  <c r="W294" i="2" s="1"/>
  <c r="Y294" i="2" s="1"/>
  <c r="U295" i="2" s="1"/>
  <c r="W295" i="2" s="1"/>
  <c r="Y295" i="2" s="1"/>
  <c r="U296" i="2" s="1"/>
  <c r="W296" i="2" s="1"/>
  <c r="Y296" i="2" s="1"/>
  <c r="U297" i="2" s="1"/>
  <c r="W297" i="2" s="1"/>
  <c r="Y297" i="2" s="1"/>
  <c r="U298" i="2" s="1"/>
  <c r="W298" i="2" s="1"/>
  <c r="Y298" i="2" s="1"/>
  <c r="U299" i="2" s="1"/>
  <c r="W299" i="2" s="1"/>
  <c r="Y299" i="2" s="1"/>
  <c r="U300" i="2" s="1"/>
  <c r="W300" i="2" s="1"/>
  <c r="Y300" i="2" s="1"/>
  <c r="U301" i="2" s="1"/>
  <c r="K293" i="2"/>
  <c r="E60" i="1" s="1"/>
  <c r="H292" i="2"/>
  <c r="G292" i="2"/>
  <c r="W289" i="2"/>
  <c r="Y289" i="2" s="1"/>
  <c r="W288" i="2"/>
  <c r="Y288" i="2" s="1"/>
  <c r="W287" i="2"/>
  <c r="Y287" i="2" s="1"/>
  <c r="G285" i="2"/>
  <c r="C285" i="2"/>
  <c r="C284" i="2"/>
  <c r="G283" i="2"/>
  <c r="W278" i="2"/>
  <c r="Y278" i="2" s="1"/>
  <c r="U279" i="2" s="1"/>
  <c r="W279" i="2" s="1"/>
  <c r="Y279" i="2" s="1"/>
  <c r="U280" i="2" s="1"/>
  <c r="W280" i="2" s="1"/>
  <c r="Y280" i="2" s="1"/>
  <c r="U281" i="2" s="1"/>
  <c r="W281" i="2" s="1"/>
  <c r="Y281" i="2" s="1"/>
  <c r="U282" i="2" s="1"/>
  <c r="W282" i="2" s="1"/>
  <c r="Y282" i="2" s="1"/>
  <c r="U283" i="2" s="1"/>
  <c r="W283" i="2" s="1"/>
  <c r="Y283" i="2" s="1"/>
  <c r="U284" i="2" s="1"/>
  <c r="W284" i="2" s="1"/>
  <c r="Y284" i="2" s="1"/>
  <c r="U285" i="2" s="1"/>
  <c r="W285" i="2" s="1"/>
  <c r="Y285" i="2" s="1"/>
  <c r="U286" i="2" s="1"/>
  <c r="R278" i="2"/>
  <c r="R279" i="2" s="1"/>
  <c r="R280" i="2" s="1"/>
  <c r="R281" i="2" s="1"/>
  <c r="R282" i="2" s="1"/>
  <c r="R283" i="2" s="1"/>
  <c r="R284" i="2" s="1"/>
  <c r="R285" i="2" s="1"/>
  <c r="R286" i="2" s="1"/>
  <c r="K278" i="2"/>
  <c r="E61" i="1" s="1"/>
  <c r="H277" i="2"/>
  <c r="G277" i="2"/>
  <c r="C271" i="2"/>
  <c r="I267" i="2" s="1"/>
  <c r="K267" i="2" s="1"/>
  <c r="G270" i="2"/>
  <c r="K270" i="2" s="1"/>
  <c r="K268" i="2"/>
  <c r="G268" i="2"/>
  <c r="M63" i="1" s="1"/>
  <c r="W267" i="2"/>
  <c r="Y267" i="2" s="1"/>
  <c r="U268" i="2" s="1"/>
  <c r="W268" i="2" s="1"/>
  <c r="Y268" i="2" s="1"/>
  <c r="U269" i="2" s="1"/>
  <c r="W269" i="2" s="1"/>
  <c r="Y269" i="2" s="1"/>
  <c r="U270" i="2" s="1"/>
  <c r="W270" i="2" s="1"/>
  <c r="Y270" i="2" s="1"/>
  <c r="U271" i="2" s="1"/>
  <c r="W263" i="2"/>
  <c r="Y263" i="2" s="1"/>
  <c r="U264" i="2" s="1"/>
  <c r="W264" i="2" s="1"/>
  <c r="Y264" i="2" s="1"/>
  <c r="U265" i="2" s="1"/>
  <c r="W265" i="2" s="1"/>
  <c r="Y265" i="2" s="1"/>
  <c r="U266" i="2" s="1"/>
  <c r="W266" i="2" s="1"/>
  <c r="Y266" i="2" s="1"/>
  <c r="H262" i="2"/>
  <c r="G262" i="2"/>
  <c r="W244" i="2"/>
  <c r="Y244" i="2" s="1"/>
  <c r="W243" i="2"/>
  <c r="Y243" i="2" s="1"/>
  <c r="W242" i="2"/>
  <c r="Y242" i="2" s="1"/>
  <c r="G240" i="2"/>
  <c r="K240" i="2" s="1"/>
  <c r="C239" i="2"/>
  <c r="F46" i="1" s="1"/>
  <c r="V238" i="2"/>
  <c r="G238" i="2"/>
  <c r="M46" i="1" s="1"/>
  <c r="V237" i="2"/>
  <c r="V236" i="2"/>
  <c r="V234" i="2"/>
  <c r="V233" i="2"/>
  <c r="W233" i="2" s="1"/>
  <c r="Y233" i="2" s="1"/>
  <c r="U234" i="2" s="1"/>
  <c r="R233" i="2"/>
  <c r="R234" i="2" s="1"/>
  <c r="R235" i="2" s="1"/>
  <c r="R236" i="2" s="1"/>
  <c r="R237" i="2" s="1"/>
  <c r="R238" i="2" s="1"/>
  <c r="C241" i="2"/>
  <c r="H232" i="2"/>
  <c r="G232" i="2"/>
  <c r="G211" i="2"/>
  <c r="K211" i="2" s="1"/>
  <c r="G209" i="2"/>
  <c r="W204" i="2"/>
  <c r="Y204" i="2" s="1"/>
  <c r="U205" i="2" s="1"/>
  <c r="W205" i="2" s="1"/>
  <c r="Y205" i="2" s="1"/>
  <c r="U206" i="2" s="1"/>
  <c r="W206" i="2" s="1"/>
  <c r="Y206" i="2" s="1"/>
  <c r="U207" i="2" s="1"/>
  <c r="W207" i="2" s="1"/>
  <c r="Y207" i="2" s="1"/>
  <c r="U208" i="2" s="1"/>
  <c r="W208" i="2" s="1"/>
  <c r="Y208" i="2" s="1"/>
  <c r="U209" i="2" s="1"/>
  <c r="W209" i="2" s="1"/>
  <c r="Y209" i="2" s="1"/>
  <c r="U210" i="2" s="1"/>
  <c r="W210" i="2" s="1"/>
  <c r="Y210" i="2" s="1"/>
  <c r="U211" i="2" s="1"/>
  <c r="W211" i="2" s="1"/>
  <c r="Y211" i="2" s="1"/>
  <c r="U212" i="2" s="1"/>
  <c r="R204" i="2"/>
  <c r="K204" i="2"/>
  <c r="K209" i="2" s="1"/>
  <c r="J85" i="1" s="1"/>
  <c r="H203" i="2"/>
  <c r="G203" i="2"/>
  <c r="W185" i="2"/>
  <c r="Y185" i="2" s="1"/>
  <c r="R185" i="2"/>
  <c r="W184" i="2"/>
  <c r="Y184" i="2" s="1"/>
  <c r="R184" i="2"/>
  <c r="W183" i="2"/>
  <c r="Y183" i="2" s="1"/>
  <c r="R183" i="2"/>
  <c r="G181" i="2"/>
  <c r="K181" i="2" s="1"/>
  <c r="C181" i="2"/>
  <c r="G42" i="1" s="1"/>
  <c r="C180" i="2"/>
  <c r="F42" i="1" s="1"/>
  <c r="G179" i="2"/>
  <c r="M42" i="1" s="1"/>
  <c r="V174" i="2"/>
  <c r="W174" i="2" s="1"/>
  <c r="Y174" i="2" s="1"/>
  <c r="U175" i="2" s="1"/>
  <c r="W175" i="2" s="1"/>
  <c r="Y175" i="2" s="1"/>
  <c r="U176" i="2" s="1"/>
  <c r="W176" i="2" s="1"/>
  <c r="Y176" i="2" s="1"/>
  <c r="U177" i="2" s="1"/>
  <c r="W177" i="2" s="1"/>
  <c r="Y177" i="2" s="1"/>
  <c r="U178" i="2" s="1"/>
  <c r="W178" i="2" s="1"/>
  <c r="Y178" i="2" s="1"/>
  <c r="U179" i="2" s="1"/>
  <c r="W179" i="2" s="1"/>
  <c r="Y179" i="2" s="1"/>
  <c r="U180" i="2" s="1"/>
  <c r="W180" i="2" s="1"/>
  <c r="Y180" i="2" s="1"/>
  <c r="U181" i="2" s="1"/>
  <c r="W181" i="2" s="1"/>
  <c r="Y181" i="2" s="1"/>
  <c r="U182" i="2" s="1"/>
  <c r="W182" i="2" s="1"/>
  <c r="Y182" i="2" s="1"/>
  <c r="G182" i="2" s="1"/>
  <c r="P42" i="1" s="1"/>
  <c r="R174" i="2"/>
  <c r="R175" i="2" s="1"/>
  <c r="R176" i="2" s="1"/>
  <c r="R177" i="2" s="1"/>
  <c r="R178" i="2" s="1"/>
  <c r="R179" i="2" s="1"/>
  <c r="R180" i="2" s="1"/>
  <c r="R181" i="2" s="1"/>
  <c r="R182" i="2" s="1"/>
  <c r="C182" i="2" s="1"/>
  <c r="I178" i="2" s="1"/>
  <c r="K178" i="2" s="1"/>
  <c r="K174" i="2"/>
  <c r="E42" i="1" s="1"/>
  <c r="H173" i="2"/>
  <c r="G173" i="2"/>
  <c r="W170" i="2"/>
  <c r="Y170" i="2" s="1"/>
  <c r="R170" i="2"/>
  <c r="W169" i="2"/>
  <c r="Y169" i="2" s="1"/>
  <c r="R169" i="2"/>
  <c r="W168" i="2"/>
  <c r="Y168" i="2" s="1"/>
  <c r="R168" i="2"/>
  <c r="G166" i="2"/>
  <c r="O40" i="1" s="1"/>
  <c r="C166" i="2"/>
  <c r="G40" i="1" s="1"/>
  <c r="C165" i="2"/>
  <c r="F40" i="1" s="1"/>
  <c r="G164" i="2"/>
  <c r="M40" i="1" s="1"/>
  <c r="W159" i="2"/>
  <c r="Y159" i="2" s="1"/>
  <c r="U160" i="2" s="1"/>
  <c r="W160" i="2" s="1"/>
  <c r="Y160" i="2" s="1"/>
  <c r="U161" i="2" s="1"/>
  <c r="W161" i="2" s="1"/>
  <c r="Y161" i="2" s="1"/>
  <c r="U162" i="2" s="1"/>
  <c r="W162" i="2" s="1"/>
  <c r="Y162" i="2" s="1"/>
  <c r="U163" i="2" s="1"/>
  <c r="W163" i="2" s="1"/>
  <c r="Y163" i="2" s="1"/>
  <c r="U164" i="2" s="1"/>
  <c r="W164" i="2" s="1"/>
  <c r="Y164" i="2" s="1"/>
  <c r="U165" i="2" s="1"/>
  <c r="W165" i="2" s="1"/>
  <c r="Y165" i="2" s="1"/>
  <c r="U166" i="2" s="1"/>
  <c r="W166" i="2" s="1"/>
  <c r="Y166" i="2" s="1"/>
  <c r="U167" i="2" s="1"/>
  <c r="R159" i="2"/>
  <c r="R160" i="2" s="1"/>
  <c r="R161" i="2" s="1"/>
  <c r="R162" i="2" s="1"/>
  <c r="R163" i="2" s="1"/>
  <c r="R164" i="2" s="1"/>
  <c r="R165" i="2" s="1"/>
  <c r="R166" i="2" s="1"/>
  <c r="R167" i="2" s="1"/>
  <c r="C167" i="2" s="1"/>
  <c r="K159" i="2"/>
  <c r="K164" i="2" s="1"/>
  <c r="J40" i="1" s="1"/>
  <c r="H158" i="2"/>
  <c r="G158" i="2"/>
  <c r="W155" i="2"/>
  <c r="Y155" i="2" s="1"/>
  <c r="R155" i="2"/>
  <c r="W154" i="2"/>
  <c r="Y154" i="2" s="1"/>
  <c r="R154" i="2"/>
  <c r="W153" i="2"/>
  <c r="Y153" i="2" s="1"/>
  <c r="R153" i="2"/>
  <c r="C151" i="2"/>
  <c r="G86" i="1" s="1"/>
  <c r="C150" i="2"/>
  <c r="G149" i="2"/>
  <c r="M86" i="1" s="1"/>
  <c r="R145" i="2"/>
  <c r="R146" i="2" s="1"/>
  <c r="R147" i="2" s="1"/>
  <c r="R148" i="2" s="1"/>
  <c r="R149" i="2" s="1"/>
  <c r="R150" i="2" s="1"/>
  <c r="R151" i="2" s="1"/>
  <c r="R152" i="2" s="1"/>
  <c r="C152" i="2" s="1"/>
  <c r="I148" i="2" s="1"/>
  <c r="W144" i="2"/>
  <c r="Y144" i="2" s="1"/>
  <c r="U145" i="2" s="1"/>
  <c r="W145" i="2" s="1"/>
  <c r="Y145" i="2" s="1"/>
  <c r="U146" i="2" s="1"/>
  <c r="W146" i="2" s="1"/>
  <c r="Y146" i="2" s="1"/>
  <c r="U147" i="2" s="1"/>
  <c r="W147" i="2" s="1"/>
  <c r="Y147" i="2" s="1"/>
  <c r="U148" i="2" s="1"/>
  <c r="W148" i="2" s="1"/>
  <c r="Y148" i="2" s="1"/>
  <c r="U149" i="2" s="1"/>
  <c r="W149" i="2" s="1"/>
  <c r="Y149" i="2" s="1"/>
  <c r="U150" i="2" s="1"/>
  <c r="W150" i="2" s="1"/>
  <c r="Y150" i="2" s="1"/>
  <c r="U151" i="2" s="1"/>
  <c r="W151" i="2" s="1"/>
  <c r="Y151" i="2" s="1"/>
  <c r="U152" i="2" s="1"/>
  <c r="G148" i="2" s="1"/>
  <c r="L86" i="1" s="1"/>
  <c r="H143" i="2"/>
  <c r="G143" i="2"/>
  <c r="W140" i="2"/>
  <c r="Y140" i="2" s="1"/>
  <c r="R140" i="2"/>
  <c r="R139" i="2"/>
  <c r="U138" i="2"/>
  <c r="W138" i="2" s="1"/>
  <c r="Y138" i="2" s="1"/>
  <c r="U139" i="2" s="1"/>
  <c r="W139" i="2" s="1"/>
  <c r="Y139" i="2" s="1"/>
  <c r="R138" i="2"/>
  <c r="G136" i="2"/>
  <c r="C136" i="2"/>
  <c r="G19" i="1" s="1"/>
  <c r="C135" i="2"/>
  <c r="F19" i="1" s="1"/>
  <c r="G134" i="2"/>
  <c r="M19" i="1" s="1"/>
  <c r="W129" i="2"/>
  <c r="Y129" i="2" s="1"/>
  <c r="U130" i="2" s="1"/>
  <c r="W130" i="2" s="1"/>
  <c r="Y130" i="2" s="1"/>
  <c r="U131" i="2" s="1"/>
  <c r="W131" i="2" s="1"/>
  <c r="Y131" i="2" s="1"/>
  <c r="U132" i="2" s="1"/>
  <c r="W132" i="2" s="1"/>
  <c r="Y132" i="2" s="1"/>
  <c r="U133" i="2" s="1"/>
  <c r="W133" i="2" s="1"/>
  <c r="Y133" i="2" s="1"/>
  <c r="U134" i="2" s="1"/>
  <c r="W134" i="2" s="1"/>
  <c r="Y134" i="2" s="1"/>
  <c r="U135" i="2" s="1"/>
  <c r="W135" i="2" s="1"/>
  <c r="Y135" i="2" s="1"/>
  <c r="U136" i="2" s="1"/>
  <c r="W136" i="2" s="1"/>
  <c r="Y136" i="2" s="1"/>
  <c r="U137" i="2" s="1"/>
  <c r="R129" i="2"/>
  <c r="R130" i="2" s="1"/>
  <c r="R131" i="2" s="1"/>
  <c r="R132" i="2" s="1"/>
  <c r="R133" i="2" s="1"/>
  <c r="R134" i="2" s="1"/>
  <c r="R135" i="2" s="1"/>
  <c r="R136" i="2" s="1"/>
  <c r="R137" i="2" s="1"/>
  <c r="C137" i="2" s="1"/>
  <c r="I133" i="2" s="1"/>
  <c r="I19" i="1" s="1"/>
  <c r="K129" i="2"/>
  <c r="K134" i="2" s="1"/>
  <c r="J19" i="1" s="1"/>
  <c r="H128" i="2"/>
  <c r="G128" i="2"/>
  <c r="W125" i="2"/>
  <c r="Y125" i="2" s="1"/>
  <c r="R125" i="2"/>
  <c r="W124" i="2"/>
  <c r="Y124" i="2" s="1"/>
  <c r="R124" i="2"/>
  <c r="W123" i="2"/>
  <c r="Y123" i="2" s="1"/>
  <c r="R123" i="2"/>
  <c r="C121" i="2"/>
  <c r="G82" i="1" s="1"/>
  <c r="C120" i="2"/>
  <c r="F82" i="1" s="1"/>
  <c r="G119" i="2"/>
  <c r="M82" i="1" s="1"/>
  <c r="W114" i="2"/>
  <c r="Y114" i="2" s="1"/>
  <c r="U115" i="2" s="1"/>
  <c r="W115" i="2" s="1"/>
  <c r="Y115" i="2" s="1"/>
  <c r="U116" i="2" s="1"/>
  <c r="W116" i="2" s="1"/>
  <c r="Y116" i="2" s="1"/>
  <c r="U117" i="2" s="1"/>
  <c r="W117" i="2" s="1"/>
  <c r="Y117" i="2" s="1"/>
  <c r="U118" i="2" s="1"/>
  <c r="W118" i="2" s="1"/>
  <c r="Y118" i="2" s="1"/>
  <c r="U119" i="2" s="1"/>
  <c r="W119" i="2" s="1"/>
  <c r="Y119" i="2" s="1"/>
  <c r="U120" i="2" s="1"/>
  <c r="W120" i="2" s="1"/>
  <c r="Y120" i="2" s="1"/>
  <c r="U121" i="2" s="1"/>
  <c r="W121" i="2" s="1"/>
  <c r="Y121" i="2" s="1"/>
  <c r="U122" i="2" s="1"/>
  <c r="R114" i="2"/>
  <c r="R115" i="2" s="1"/>
  <c r="R116" i="2" s="1"/>
  <c r="R117" i="2" s="1"/>
  <c r="R118" i="2" s="1"/>
  <c r="R119" i="2" s="1"/>
  <c r="R120" i="2" s="1"/>
  <c r="R121" i="2" s="1"/>
  <c r="R122" i="2" s="1"/>
  <c r="C122" i="2" s="1"/>
  <c r="I118" i="2" s="1"/>
  <c r="K114" i="2"/>
  <c r="H113" i="2"/>
  <c r="G113" i="2"/>
  <c r="W110" i="2"/>
  <c r="Y110" i="2"/>
  <c r="W109" i="2"/>
  <c r="Y109" i="2" s="1"/>
  <c r="W108" i="2"/>
  <c r="Y108" i="2" s="1"/>
  <c r="C107" i="2"/>
  <c r="G106" i="2"/>
  <c r="K106" i="2" s="1"/>
  <c r="C106" i="2"/>
  <c r="G18" i="1" s="1"/>
  <c r="C105" i="2"/>
  <c r="F18" i="1" s="1"/>
  <c r="R104" i="2"/>
  <c r="G104" i="2"/>
  <c r="M18" i="1" s="1"/>
  <c r="R100" i="2"/>
  <c r="R101" i="2" s="1"/>
  <c r="R102" i="2" s="1"/>
  <c r="W99" i="2"/>
  <c r="Y99" i="2" s="1"/>
  <c r="U100" i="2" s="1"/>
  <c r="W100" i="2" s="1"/>
  <c r="Y100" i="2" s="1"/>
  <c r="U101" i="2" s="1"/>
  <c r="W101" i="2" s="1"/>
  <c r="Y101" i="2" s="1"/>
  <c r="U102" i="2" s="1"/>
  <c r="W102" i="2" s="1"/>
  <c r="Y102" i="2" s="1"/>
  <c r="U103" i="2" s="1"/>
  <c r="W103" i="2" s="1"/>
  <c r="Y103" i="2" s="1"/>
  <c r="U104" i="2" s="1"/>
  <c r="W104" i="2" s="1"/>
  <c r="Y104" i="2" s="1"/>
  <c r="U105" i="2" s="1"/>
  <c r="W105" i="2" s="1"/>
  <c r="Y105" i="2" s="1"/>
  <c r="U106" i="2" s="1"/>
  <c r="W106" i="2" s="1"/>
  <c r="Y106" i="2" s="1"/>
  <c r="U107" i="2" s="1"/>
  <c r="G103" i="2" s="1"/>
  <c r="L18" i="1" s="1"/>
  <c r="K99" i="2"/>
  <c r="K104" i="2" s="1"/>
  <c r="J18" i="1" s="1"/>
  <c r="H98" i="2"/>
  <c r="G98" i="2"/>
  <c r="R95" i="2"/>
  <c r="R94" i="2"/>
  <c r="R93" i="2"/>
  <c r="G91" i="2"/>
  <c r="C91" i="2"/>
  <c r="G78" i="1" s="1"/>
  <c r="C90" i="2"/>
  <c r="F78" i="1" s="1"/>
  <c r="G89" i="2"/>
  <c r="M78" i="1" s="1"/>
  <c r="W84" i="2"/>
  <c r="Y84" i="2" s="1"/>
  <c r="U85" i="2" s="1"/>
  <c r="W85" i="2" s="1"/>
  <c r="Y85" i="2" s="1"/>
  <c r="U86" i="2" s="1"/>
  <c r="W86" i="2" s="1"/>
  <c r="Y86" i="2" s="1"/>
  <c r="U87" i="2" s="1"/>
  <c r="W87" i="2" s="1"/>
  <c r="Y87" i="2" s="1"/>
  <c r="U88" i="2" s="1"/>
  <c r="W88" i="2" s="1"/>
  <c r="Y88" i="2" s="1"/>
  <c r="U89" i="2" s="1"/>
  <c r="W89" i="2" s="1"/>
  <c r="Y89" i="2" s="1"/>
  <c r="U90" i="2" s="1"/>
  <c r="W90" i="2" s="1"/>
  <c r="Y90" i="2" s="1"/>
  <c r="U91" i="2" s="1"/>
  <c r="W91" i="2" s="1"/>
  <c r="Y91" i="2" s="1"/>
  <c r="U92" i="2" s="1"/>
  <c r="R84" i="2"/>
  <c r="R85" i="2" s="1"/>
  <c r="R86" i="2" s="1"/>
  <c r="R87" i="2" s="1"/>
  <c r="R88" i="2" s="1"/>
  <c r="R89" i="2" s="1"/>
  <c r="R90" i="2" s="1"/>
  <c r="R91" i="2" s="1"/>
  <c r="R92" i="2" s="1"/>
  <c r="C92" i="2" s="1"/>
  <c r="I88" i="2" s="1"/>
  <c r="I78" i="1" s="1"/>
  <c r="K84" i="2"/>
  <c r="K89" i="2" s="1"/>
  <c r="J78" i="1" s="1"/>
  <c r="H83" i="2"/>
  <c r="G76" i="2"/>
  <c r="K76" i="2" s="1"/>
  <c r="C76" i="2"/>
  <c r="G14" i="1" s="1"/>
  <c r="C75" i="2"/>
  <c r="G74" i="2"/>
  <c r="M14" i="1" s="1"/>
  <c r="R71" i="2"/>
  <c r="R72" i="2" s="1"/>
  <c r="R73" i="2" s="1"/>
  <c r="R74" i="2" s="1"/>
  <c r="R75" i="2" s="1"/>
  <c r="R76" i="2" s="1"/>
  <c r="C77" i="2"/>
  <c r="W69" i="2"/>
  <c r="Y69" i="2" s="1"/>
  <c r="U70" i="2" s="1"/>
  <c r="W70" i="2" s="1"/>
  <c r="Y70" i="2" s="1"/>
  <c r="U71" i="2" s="1"/>
  <c r="W71" i="2" s="1"/>
  <c r="Y71" i="2" s="1"/>
  <c r="U72" i="2" s="1"/>
  <c r="W72" i="2" s="1"/>
  <c r="Y72" i="2" s="1"/>
  <c r="U73" i="2" s="1"/>
  <c r="W73" i="2" s="1"/>
  <c r="Y73" i="2" s="1"/>
  <c r="U74" i="2" s="1"/>
  <c r="W74" i="2" s="1"/>
  <c r="Y74" i="2" s="1"/>
  <c r="U75" i="2" s="1"/>
  <c r="H68" i="2"/>
  <c r="G68" i="2"/>
  <c r="R65" i="2"/>
  <c r="R63" i="2"/>
  <c r="G61" i="2"/>
  <c r="C61" i="2"/>
  <c r="G15" i="1" s="1"/>
  <c r="G59" i="2"/>
  <c r="M15" i="1" s="1"/>
  <c r="W54" i="2"/>
  <c r="Y54" i="2" s="1"/>
  <c r="U55" i="2" s="1"/>
  <c r="W55" i="2" s="1"/>
  <c r="Y55" i="2" s="1"/>
  <c r="U56" i="2" s="1"/>
  <c r="W56" i="2" s="1"/>
  <c r="Y56" i="2" s="1"/>
  <c r="U57" i="2" s="1"/>
  <c r="W57" i="2" s="1"/>
  <c r="Y57" i="2" s="1"/>
  <c r="U58" i="2" s="1"/>
  <c r="W58" i="2" s="1"/>
  <c r="Y58" i="2" s="1"/>
  <c r="U59" i="2" s="1"/>
  <c r="W59" i="2" s="1"/>
  <c r="Y59" i="2" s="1"/>
  <c r="U60" i="2" s="1"/>
  <c r="W60" i="2" s="1"/>
  <c r="Y60" i="2" s="1"/>
  <c r="U61" i="2" s="1"/>
  <c r="W61" i="2" s="1"/>
  <c r="Y61" i="2" s="1"/>
  <c r="U62" i="2" s="1"/>
  <c r="R54" i="2"/>
  <c r="R55" i="2" s="1"/>
  <c r="R56" i="2" s="1"/>
  <c r="R57" i="2" s="1"/>
  <c r="R58" i="2" s="1"/>
  <c r="R59" i="2" s="1"/>
  <c r="R60" i="2" s="1"/>
  <c r="R61" i="2" s="1"/>
  <c r="R62" i="2" s="1"/>
  <c r="C62" i="2" s="1"/>
  <c r="K54" i="2"/>
  <c r="H53" i="2"/>
  <c r="G53" i="2"/>
  <c r="W50" i="2"/>
  <c r="Y50" i="2" s="1"/>
  <c r="R50" i="2"/>
  <c r="W49" i="2"/>
  <c r="Y49" i="2" s="1"/>
  <c r="R49" i="2"/>
  <c r="W48" i="2"/>
  <c r="Y48" i="2" s="1"/>
  <c r="G46" i="2"/>
  <c r="K46" i="2" s="1"/>
  <c r="C46" i="2"/>
  <c r="G22" i="1" s="1"/>
  <c r="R45" i="2"/>
  <c r="C47" i="2"/>
  <c r="C45" i="2"/>
  <c r="V44" i="2"/>
  <c r="G44" i="2"/>
  <c r="K44" i="2"/>
  <c r="J22" i="1" s="1"/>
  <c r="R43" i="2"/>
  <c r="R42" i="2"/>
  <c r="R41" i="2"/>
  <c r="W39" i="2"/>
  <c r="Y39" i="2" s="1"/>
  <c r="U40" i="2" s="1"/>
  <c r="W40" i="2" s="1"/>
  <c r="Y40" i="2" s="1"/>
  <c r="U41" i="2" s="1"/>
  <c r="W41" i="2" s="1"/>
  <c r="Y41" i="2" s="1"/>
  <c r="U42" i="2" s="1"/>
  <c r="W42" i="2" s="1"/>
  <c r="Y42" i="2" s="1"/>
  <c r="U43" i="2" s="1"/>
  <c r="W43" i="2" s="1"/>
  <c r="Y43" i="2" s="1"/>
  <c r="U44" i="2" s="1"/>
  <c r="H38" i="2"/>
  <c r="G38" i="2"/>
  <c r="W35" i="2"/>
  <c r="Y35" i="2" s="1"/>
  <c r="R35" i="2"/>
  <c r="W34" i="2"/>
  <c r="Y34" i="2"/>
  <c r="R34" i="2"/>
  <c r="U33" i="2"/>
  <c r="W33" i="2" s="1"/>
  <c r="Y33" i="2" s="1"/>
  <c r="W31" i="2"/>
  <c r="Y31" i="2" s="1"/>
  <c r="U32" i="2" s="1"/>
  <c r="G31" i="2"/>
  <c r="O20" i="1" s="1"/>
  <c r="C31" i="2"/>
  <c r="G20" i="1" s="1"/>
  <c r="W30" i="2"/>
  <c r="Y30" i="2" s="1"/>
  <c r="R30" i="2"/>
  <c r="C30" i="2"/>
  <c r="R29" i="2"/>
  <c r="K29" i="2"/>
  <c r="K30" i="2" s="1"/>
  <c r="G29" i="2"/>
  <c r="M20" i="1" s="1"/>
  <c r="R28" i="2"/>
  <c r="W27" i="2"/>
  <c r="Y27" i="2" s="1"/>
  <c r="U28" i="2" s="1"/>
  <c r="W28" i="2" s="1"/>
  <c r="Y28" i="2" s="1"/>
  <c r="U29" i="2" s="1"/>
  <c r="W29" i="2" s="1"/>
  <c r="Y29" i="2" s="1"/>
  <c r="R27" i="2"/>
  <c r="W26" i="2"/>
  <c r="Y26" i="2" s="1"/>
  <c r="R26" i="2"/>
  <c r="W24" i="2"/>
  <c r="Y24" i="2" s="1"/>
  <c r="U25" i="2" s="1"/>
  <c r="W25" i="2" s="1"/>
  <c r="Y25" i="2" s="1"/>
  <c r="H23" i="2"/>
  <c r="G23" i="2"/>
  <c r="U20" i="2"/>
  <c r="W20" i="2" s="1"/>
  <c r="Y20" i="2" s="1"/>
  <c r="R20" i="2"/>
  <c r="U19" i="2"/>
  <c r="W19" i="2" s="1"/>
  <c r="Y19" i="2" s="1"/>
  <c r="U18" i="2"/>
  <c r="W18" i="2" s="1"/>
  <c r="Y18" i="2" s="1"/>
  <c r="R17" i="2"/>
  <c r="C17" i="2" s="1"/>
  <c r="G16" i="2"/>
  <c r="K16" i="2" s="1"/>
  <c r="C16" i="2"/>
  <c r="G16" i="1" s="1"/>
  <c r="C15" i="2"/>
  <c r="F16" i="1" s="1"/>
  <c r="G14" i="2"/>
  <c r="U13" i="2"/>
  <c r="W13" i="2" s="1"/>
  <c r="Y13" i="2" s="1"/>
  <c r="U14" i="2"/>
  <c r="W14" i="2" s="1"/>
  <c r="Y14" i="2" s="1"/>
  <c r="R13" i="2"/>
  <c r="R14" i="2" s="1"/>
  <c r="R15" i="2" s="1"/>
  <c r="I13" i="2"/>
  <c r="U12" i="2"/>
  <c r="W12" i="2" s="1"/>
  <c r="Y12" i="2" s="1"/>
  <c r="U11" i="2"/>
  <c r="W11" i="2" s="1"/>
  <c r="Y11" i="2" s="1"/>
  <c r="U10" i="2"/>
  <c r="W10" i="2" s="1"/>
  <c r="Y10" i="2" s="1"/>
  <c r="W9" i="2"/>
  <c r="Y9" i="2" s="1"/>
  <c r="P16" i="1" s="1"/>
  <c r="R9" i="2"/>
  <c r="R10" i="2" s="1"/>
  <c r="R11" i="2" s="1"/>
  <c r="K9" i="2"/>
  <c r="E16" i="1" s="1"/>
  <c r="H8" i="2"/>
  <c r="G8" i="2"/>
  <c r="O131" i="1"/>
  <c r="D127" i="1"/>
  <c r="C127" i="1"/>
  <c r="H110" i="1"/>
  <c r="E110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H86" i="1"/>
  <c r="H85" i="1"/>
  <c r="H84" i="1"/>
  <c r="B84" i="1"/>
  <c r="H83" i="1"/>
  <c r="B83" i="1"/>
  <c r="H82" i="1"/>
  <c r="B82" i="1"/>
  <c r="H81" i="1"/>
  <c r="E81" i="1"/>
  <c r="B81" i="1"/>
  <c r="H80" i="1"/>
  <c r="B80" i="1"/>
  <c r="H53" i="1"/>
  <c r="E53" i="1"/>
  <c r="B53" i="1"/>
  <c r="H79" i="1"/>
  <c r="E79" i="1"/>
  <c r="B79" i="1"/>
  <c r="B95" i="1"/>
  <c r="H78" i="1"/>
  <c r="H74" i="1"/>
  <c r="E74" i="1"/>
  <c r="B74" i="1"/>
  <c r="H73" i="1"/>
  <c r="E73" i="1"/>
  <c r="B73" i="1"/>
  <c r="H71" i="1"/>
  <c r="E71" i="1"/>
  <c r="B71" i="1"/>
  <c r="H70" i="1"/>
  <c r="E70" i="1"/>
  <c r="B70" i="1"/>
  <c r="H68" i="1"/>
  <c r="F68" i="1"/>
  <c r="E68" i="1"/>
  <c r="B68" i="1"/>
  <c r="H67" i="1"/>
  <c r="B67" i="1"/>
  <c r="H66" i="1"/>
  <c r="B66" i="1"/>
  <c r="H65" i="1"/>
  <c r="E65" i="1"/>
  <c r="B65" i="1"/>
  <c r="H64" i="1"/>
  <c r="B64" i="1"/>
  <c r="J63" i="1"/>
  <c r="H63" i="1"/>
  <c r="E63" i="1"/>
  <c r="B63" i="1"/>
  <c r="H62" i="1"/>
  <c r="B62" i="1"/>
  <c r="H61" i="1"/>
  <c r="B61" i="1"/>
  <c r="H60" i="1"/>
  <c r="B60" i="1"/>
  <c r="H59" i="1"/>
  <c r="E59" i="1"/>
  <c r="B59" i="1"/>
  <c r="H55" i="1"/>
  <c r="B55" i="1"/>
  <c r="H54" i="1"/>
  <c r="E54" i="1"/>
  <c r="B54" i="1"/>
  <c r="H52" i="1"/>
  <c r="B52" i="1"/>
  <c r="H51" i="1"/>
  <c r="B51" i="1"/>
  <c r="H50" i="1"/>
  <c r="E50" i="1"/>
  <c r="B50" i="1"/>
  <c r="H49" i="1"/>
  <c r="H46" i="1"/>
  <c r="B46" i="1"/>
  <c r="H45" i="1"/>
  <c r="B45" i="1"/>
  <c r="H44" i="1"/>
  <c r="B44" i="1"/>
  <c r="H43" i="1"/>
  <c r="B43" i="1"/>
  <c r="H42" i="1"/>
  <c r="B42" i="1"/>
  <c r="H41" i="1"/>
  <c r="U19" i="1"/>
  <c r="H19" i="1"/>
  <c r="H40" i="1"/>
  <c r="H36" i="1"/>
  <c r="B36" i="1"/>
  <c r="H35" i="1"/>
  <c r="B35" i="1"/>
  <c r="H34" i="1"/>
  <c r="B34" i="1"/>
  <c r="H33" i="1"/>
  <c r="B33" i="1"/>
  <c r="H29" i="1"/>
  <c r="B29" i="1"/>
  <c r="H28" i="1"/>
  <c r="B28" i="1"/>
  <c r="H27" i="1"/>
  <c r="B27" i="1"/>
  <c r="H26" i="1"/>
  <c r="H22" i="1"/>
  <c r="E22" i="1"/>
  <c r="B22" i="1"/>
  <c r="I20" i="1"/>
  <c r="E20" i="1"/>
  <c r="B20" i="1"/>
  <c r="O18" i="1"/>
  <c r="H18" i="1"/>
  <c r="B18" i="1"/>
  <c r="O16" i="1"/>
  <c r="M16" i="1"/>
  <c r="L16" i="1"/>
  <c r="H16" i="1"/>
  <c r="H15" i="1"/>
  <c r="H14" i="1"/>
  <c r="B14" i="1"/>
  <c r="E11" i="1"/>
  <c r="D7" i="1"/>
  <c r="D5" i="1"/>
  <c r="D4" i="1"/>
  <c r="P1" i="1"/>
  <c r="G34" i="1"/>
  <c r="M74" i="1"/>
  <c r="G81" i="1"/>
  <c r="E51" i="1"/>
  <c r="M83" i="1"/>
  <c r="G33" i="1"/>
  <c r="K630" i="2"/>
  <c r="J62" i="1" s="1"/>
  <c r="F79" i="1"/>
  <c r="J74" i="1"/>
  <c r="M85" i="1"/>
  <c r="J79" i="1"/>
  <c r="O86" i="1"/>
  <c r="F36" i="1"/>
  <c r="K602" i="2"/>
  <c r="M22" i="1"/>
  <c r="F22" i="1"/>
  <c r="M84" i="1"/>
  <c r="N45" i="1"/>
  <c r="F20" i="1"/>
  <c r="F63" i="1"/>
  <c r="E14" i="1"/>
  <c r="M61" i="1"/>
  <c r="O29" i="1"/>
  <c r="M59" i="1"/>
  <c r="K695" i="2"/>
  <c r="M33" i="1"/>
  <c r="K345" i="2"/>
  <c r="K283" i="2"/>
  <c r="J61" i="1" s="1"/>
  <c r="F61" i="1"/>
  <c r="G60" i="1"/>
  <c r="G84" i="1"/>
  <c r="G28" i="1"/>
  <c r="K494" i="2"/>
  <c r="J34" i="1" s="1"/>
  <c r="E45" i="1"/>
  <c r="P45" i="1"/>
  <c r="F86" i="1"/>
  <c r="K166" i="2"/>
  <c r="G61" i="1"/>
  <c r="K646" i="2"/>
  <c r="J44" i="1" s="1"/>
  <c r="J81" i="1"/>
  <c r="G50" i="1"/>
  <c r="E27" i="1"/>
  <c r="F60" i="1"/>
  <c r="E44" i="1"/>
  <c r="E52" i="1"/>
  <c r="I15" i="1"/>
  <c r="E84" i="1"/>
  <c r="C32" i="2"/>
  <c r="E29" i="1"/>
  <c r="E46" i="1"/>
  <c r="E34" i="1"/>
  <c r="O50" i="1"/>
  <c r="O28" i="1"/>
  <c r="O81" i="1"/>
  <c r="K617" i="2"/>
  <c r="O43" i="1"/>
  <c r="J70" i="1"/>
  <c r="J110" i="1"/>
  <c r="G63" i="1"/>
  <c r="O67" i="1"/>
  <c r="C712" i="2"/>
  <c r="I81" i="1"/>
  <c r="O84" i="1"/>
  <c r="K436" i="2"/>
  <c r="F14" i="1"/>
  <c r="K74" i="2"/>
  <c r="J14" i="1" s="1"/>
  <c r="K194" i="2"/>
  <c r="J45" i="1" s="1"/>
  <c r="I67" i="1"/>
  <c r="K835" i="2"/>
  <c r="K837" i="2" s="1"/>
  <c r="I18" i="1"/>
  <c r="I14" i="1"/>
  <c r="I35" i="1"/>
  <c r="K327" i="2"/>
  <c r="K329" i="2" s="1"/>
  <c r="K103" i="2"/>
  <c r="U15" i="2"/>
  <c r="W15" i="2" s="1"/>
  <c r="Y15" i="2" s="1"/>
  <c r="G614" i="2"/>
  <c r="L43" i="1" s="1"/>
  <c r="U389" i="2"/>
  <c r="W389" i="2" s="1"/>
  <c r="Y389" i="2" s="1"/>
  <c r="U710" i="2"/>
  <c r="W710" i="2" s="1"/>
  <c r="Y710" i="2" s="1"/>
  <c r="G342" i="2"/>
  <c r="L51" i="1" s="1"/>
  <c r="U16" i="2"/>
  <c r="W16" i="2" s="1"/>
  <c r="Y16" i="2" s="1"/>
  <c r="U17" i="2" s="1"/>
  <c r="W17" i="2" s="1"/>
  <c r="Y17" i="2" s="1"/>
  <c r="G17" i="2" s="1"/>
  <c r="W618" i="2"/>
  <c r="G616" i="2" s="1"/>
  <c r="N43" i="1" s="1"/>
  <c r="W619" i="2"/>
  <c r="Y619" i="2" s="1"/>
  <c r="W620" i="2"/>
  <c r="Y620" i="2" s="1"/>
  <c r="W408" i="2"/>
  <c r="Y408" i="2" s="1"/>
  <c r="W409" i="2"/>
  <c r="Y409" i="2" s="1"/>
  <c r="W410" i="2"/>
  <c r="Y410" i="2" s="1"/>
  <c r="W528" i="2"/>
  <c r="Y528" i="2" s="1"/>
  <c r="W529" i="2"/>
  <c r="Y529" i="2" s="1"/>
  <c r="W530" i="2"/>
  <c r="Y530" i="2" s="1"/>
  <c r="W345" i="2"/>
  <c r="Y345" i="2" s="1"/>
  <c r="U711" i="2"/>
  <c r="W711" i="2" s="1"/>
  <c r="Y711" i="2" s="1"/>
  <c r="U390" i="2"/>
  <c r="W390" i="2" s="1"/>
  <c r="Y390" i="2" s="1"/>
  <c r="W776" i="2"/>
  <c r="Y776" i="2" s="1"/>
  <c r="U777" i="2" s="1"/>
  <c r="W777" i="2" s="1"/>
  <c r="Y777" i="2" s="1"/>
  <c r="U778" i="2" s="1"/>
  <c r="W778" i="2" s="1"/>
  <c r="Y778" i="2" s="1"/>
  <c r="W423" i="2"/>
  <c r="Y423" i="2" s="1"/>
  <c r="W424" i="2"/>
  <c r="Y424" i="2" s="1"/>
  <c r="W425" i="2"/>
  <c r="Y425" i="2" s="1"/>
  <c r="W213" i="2"/>
  <c r="Y213" i="2" s="1"/>
  <c r="W214" i="2"/>
  <c r="Y214" i="2" s="1"/>
  <c r="W215" i="2"/>
  <c r="Y215" i="2" s="1"/>
  <c r="W302" i="2"/>
  <c r="Y302" i="2" s="1"/>
  <c r="W303" i="2"/>
  <c r="Y303" i="2" s="1"/>
  <c r="W304" i="2"/>
  <c r="Y304" i="2" s="1"/>
  <c r="W346" i="2"/>
  <c r="G344" i="2" s="1"/>
  <c r="N51" i="1" s="1"/>
  <c r="W347" i="2"/>
  <c r="Y347" i="2" s="1"/>
  <c r="W348" i="2"/>
  <c r="Y348" i="2" s="1"/>
  <c r="W650" i="2"/>
  <c r="Y650" i="2" s="1"/>
  <c r="W651" i="2"/>
  <c r="Y651" i="2" s="1"/>
  <c r="W652" i="2"/>
  <c r="Y652" i="2" s="1"/>
  <c r="W588" i="2"/>
  <c r="Y588" i="2" s="1"/>
  <c r="W589" i="2"/>
  <c r="Y589" i="2" s="1"/>
  <c r="W590" i="2"/>
  <c r="Y590" i="2" s="1"/>
  <c r="G708" i="2"/>
  <c r="L73" i="1" s="1"/>
  <c r="U792" i="2"/>
  <c r="W792" i="2" s="1"/>
  <c r="Y792" i="2" s="1"/>
  <c r="U793" i="2" s="1"/>
  <c r="W793" i="2" s="1"/>
  <c r="Y793" i="2" s="1"/>
  <c r="U794" i="2" s="1"/>
  <c r="W794" i="2" s="1"/>
  <c r="Y794" i="2" s="1"/>
  <c r="W78" i="2"/>
  <c r="Y78" i="2" s="1"/>
  <c r="W79" i="2"/>
  <c r="Y79" i="2" s="1"/>
  <c r="W80" i="2"/>
  <c r="Y80" i="2" s="1"/>
  <c r="R13" i="3" l="1"/>
  <c r="O35" i="1"/>
  <c r="E18" i="1"/>
  <c r="M110" i="1"/>
  <c r="I523" i="2"/>
  <c r="K523" i="2" s="1"/>
  <c r="I803" i="2"/>
  <c r="K803" i="2" s="1"/>
  <c r="K805" i="2" s="1"/>
  <c r="I963" i="2"/>
  <c r="K963" i="2" s="1"/>
  <c r="I787" i="2"/>
  <c r="F70" i="1"/>
  <c r="I708" i="2"/>
  <c r="I73" i="1" s="1"/>
  <c r="O74" i="1"/>
  <c r="O94" i="1"/>
  <c r="K539" i="2"/>
  <c r="J36" i="1" s="1"/>
  <c r="K481" i="2"/>
  <c r="I79" i="1"/>
  <c r="K298" i="2"/>
  <c r="J60" i="1" s="1"/>
  <c r="E78" i="1"/>
  <c r="W44" i="2"/>
  <c r="Y44" i="2" s="1"/>
  <c r="U45" i="2" s="1"/>
  <c r="W45" i="2" s="1"/>
  <c r="Y45" i="2" s="1"/>
  <c r="U46" i="2" s="1"/>
  <c r="W46" i="2" s="1"/>
  <c r="Y46" i="2" s="1"/>
  <c r="U47" i="2" s="1"/>
  <c r="G43" i="2" s="1"/>
  <c r="L22" i="1" s="1"/>
  <c r="Y618" i="2"/>
  <c r="G618" i="2" s="1"/>
  <c r="P43" i="1" s="1"/>
  <c r="I63" i="1"/>
  <c r="O53" i="1"/>
  <c r="E41" i="1"/>
  <c r="I493" i="2"/>
  <c r="I34" i="1" s="1"/>
  <c r="W540" i="2"/>
  <c r="Y540" i="2" s="1"/>
  <c r="U541" i="2" s="1"/>
  <c r="W541" i="2" s="1"/>
  <c r="Y541" i="2" s="1"/>
  <c r="U542" i="2" s="1"/>
  <c r="O65" i="1"/>
  <c r="E19" i="1"/>
  <c r="G110" i="1"/>
  <c r="K360" i="2"/>
  <c r="E64" i="1"/>
  <c r="W75" i="2"/>
  <c r="Y75" i="2" s="1"/>
  <c r="U76" i="2" s="1"/>
  <c r="W76" i="2" s="1"/>
  <c r="Y76" i="2" s="1"/>
  <c r="U77" i="2" s="1"/>
  <c r="W77" i="2" s="1"/>
  <c r="I387" i="2"/>
  <c r="K387" i="2" s="1"/>
  <c r="K389" i="2" s="1"/>
  <c r="K54" i="1" s="1"/>
  <c r="W642" i="2"/>
  <c r="Y642" i="2" s="1"/>
  <c r="U643" i="2" s="1"/>
  <c r="W643" i="2" s="1"/>
  <c r="Y643" i="2" s="1"/>
  <c r="U644" i="2" s="1"/>
  <c r="W644" i="2" s="1"/>
  <c r="Y644" i="2" s="1"/>
  <c r="U645" i="2" s="1"/>
  <c r="W645" i="2" s="1"/>
  <c r="Y645" i="2" s="1"/>
  <c r="U646" i="2" s="1"/>
  <c r="W646" i="2" s="1"/>
  <c r="Y646" i="2" s="1"/>
  <c r="U647" i="2" s="1"/>
  <c r="W647" i="2" s="1"/>
  <c r="Y647" i="2" s="1"/>
  <c r="U648" i="2" s="1"/>
  <c r="W648" i="2" s="1"/>
  <c r="Y648" i="2" s="1"/>
  <c r="U649" i="2" s="1"/>
  <c r="G645" i="2" s="1"/>
  <c r="L44" i="1" s="1"/>
  <c r="O68" i="1"/>
  <c r="E67" i="1"/>
  <c r="O36" i="1"/>
  <c r="I403" i="2"/>
  <c r="K403" i="2" s="1"/>
  <c r="K1048" i="2"/>
  <c r="I1078" i="2"/>
  <c r="O14" i="1"/>
  <c r="E80" i="1"/>
  <c r="K179" i="2"/>
  <c r="J42" i="1" s="1"/>
  <c r="O34" i="1"/>
  <c r="W234" i="2"/>
  <c r="Y234" i="2" s="1"/>
  <c r="U235" i="2" s="1"/>
  <c r="W235" i="2" s="1"/>
  <c r="Y235" i="2" s="1"/>
  <c r="U236" i="2" s="1"/>
  <c r="W236" i="2" s="1"/>
  <c r="Y236" i="2" s="1"/>
  <c r="U237" i="2" s="1"/>
  <c r="W237" i="2" s="1"/>
  <c r="Y237" i="2" s="1"/>
  <c r="U238" i="2" s="1"/>
  <c r="W238" i="2" s="1"/>
  <c r="Y238" i="2" s="1"/>
  <c r="U239" i="2" s="1"/>
  <c r="W239" i="2" s="1"/>
  <c r="Y239" i="2" s="1"/>
  <c r="U240" i="2" s="1"/>
  <c r="W240" i="2" s="1"/>
  <c r="Y240" i="2" s="1"/>
  <c r="U241" i="2" s="1"/>
  <c r="W241" i="2" s="1"/>
  <c r="G239" i="2" s="1"/>
  <c r="N46" i="1" s="1"/>
  <c r="I819" i="2"/>
  <c r="O90" i="1"/>
  <c r="G252" i="2"/>
  <c r="L64" i="1" s="1"/>
  <c r="G1030" i="2"/>
  <c r="L21" i="1" s="1"/>
  <c r="G523" i="2"/>
  <c r="L33" i="1" s="1"/>
  <c r="W527" i="2"/>
  <c r="Y527" i="2" s="1"/>
  <c r="G527" i="2" s="1"/>
  <c r="P33" i="1" s="1"/>
  <c r="W301" i="2"/>
  <c r="G297" i="2"/>
  <c r="L60" i="1" s="1"/>
  <c r="K680" i="2"/>
  <c r="O60" i="1"/>
  <c r="O110" i="1"/>
  <c r="I1062" i="2"/>
  <c r="K1062" i="2" s="1"/>
  <c r="K1064" i="2" s="1"/>
  <c r="E40" i="1"/>
  <c r="O62" i="1"/>
  <c r="O45" i="1"/>
  <c r="K711" i="2"/>
  <c r="E26" i="1"/>
  <c r="E30" i="1" s="1"/>
  <c r="O64" i="1"/>
  <c r="I883" i="2"/>
  <c r="K883" i="2" s="1"/>
  <c r="K885" i="2" s="1"/>
  <c r="G15" i="2"/>
  <c r="E66" i="1"/>
  <c r="G741" i="2"/>
  <c r="N68" i="1" s="1"/>
  <c r="O80" i="1"/>
  <c r="I599" i="2"/>
  <c r="K599" i="2" s="1"/>
  <c r="K601" i="2" s="1"/>
  <c r="K71" i="1" s="1"/>
  <c r="C301" i="2"/>
  <c r="I297" i="2" s="1"/>
  <c r="R302" i="2"/>
  <c r="R303" i="2" s="1"/>
  <c r="G979" i="2"/>
  <c r="L90" i="1" s="1"/>
  <c r="G981" i="2"/>
  <c r="N90" i="1" s="1"/>
  <c r="G771" i="2"/>
  <c r="L80" i="1" s="1"/>
  <c r="W775" i="2"/>
  <c r="Y775" i="2" s="1"/>
  <c r="G775" i="2" s="1"/>
  <c r="P80" i="1" s="1"/>
  <c r="G28" i="2"/>
  <c r="L20" i="1" s="1"/>
  <c r="W32" i="2"/>
  <c r="Y32" i="2" s="1"/>
  <c r="G32" i="2" s="1"/>
  <c r="P20" i="1" s="1"/>
  <c r="G73" i="2"/>
  <c r="L14" i="1" s="1"/>
  <c r="G13" i="2"/>
  <c r="K208" i="2"/>
  <c r="K210" i="2" s="1"/>
  <c r="O59" i="1"/>
  <c r="O22" i="1"/>
  <c r="E43" i="1"/>
  <c r="K14" i="2"/>
  <c r="J16" i="1" s="1"/>
  <c r="N16" i="1"/>
  <c r="I43" i="2"/>
  <c r="E85" i="1"/>
  <c r="I915" i="2"/>
  <c r="K55" i="1"/>
  <c r="G710" i="2"/>
  <c r="N73" i="1" s="1"/>
  <c r="Y712" i="2"/>
  <c r="G712" i="2" s="1"/>
  <c r="P73" i="1" s="1"/>
  <c r="K75" i="2"/>
  <c r="K14" i="1" s="1"/>
  <c r="Y346" i="2"/>
  <c r="G346" i="2" s="1"/>
  <c r="P51" i="1" s="1"/>
  <c r="G178" i="2"/>
  <c r="L42" i="1" s="1"/>
  <c r="G1011" i="2"/>
  <c r="W1015" i="2"/>
  <c r="I553" i="2"/>
  <c r="K553" i="2" s="1"/>
  <c r="K555" i="2" s="1"/>
  <c r="K97" i="1" s="1"/>
  <c r="I771" i="2"/>
  <c r="K771" i="2" s="1"/>
  <c r="K773" i="2" s="1"/>
  <c r="K80" i="1" s="1"/>
  <c r="I931" i="2"/>
  <c r="K931" i="2" s="1"/>
  <c r="K933" i="2" s="1"/>
  <c r="K89" i="1" s="1"/>
  <c r="I252" i="2"/>
  <c r="I64" i="1" s="1"/>
  <c r="I463" i="2"/>
  <c r="I28" i="1" s="1"/>
  <c r="K584" i="2"/>
  <c r="J67" i="1" s="1"/>
  <c r="O46" i="1"/>
  <c r="W572" i="2"/>
  <c r="G568" i="2"/>
  <c r="L41" i="1" s="1"/>
  <c r="W62" i="2"/>
  <c r="G58" i="2"/>
  <c r="L15" i="1" s="1"/>
  <c r="W212" i="2"/>
  <c r="G210" i="2" s="1"/>
  <c r="N85" i="1" s="1"/>
  <c r="G208" i="2"/>
  <c r="L85" i="1" s="1"/>
  <c r="R287" i="2"/>
  <c r="R288" i="2" s="1"/>
  <c r="R289" i="2" s="1"/>
  <c r="C286" i="2"/>
  <c r="I282" i="2" s="1"/>
  <c r="I61" i="1" s="1"/>
  <c r="G282" i="2"/>
  <c r="L61" i="1" s="1"/>
  <c r="W286" i="2"/>
  <c r="W92" i="2"/>
  <c r="G88" i="2"/>
  <c r="L78" i="1" s="1"/>
  <c r="W167" i="2"/>
  <c r="G163" i="2"/>
  <c r="L40" i="1" s="1"/>
  <c r="W407" i="2"/>
  <c r="Y407" i="2" s="1"/>
  <c r="G407" i="2" s="1"/>
  <c r="P83" i="1" s="1"/>
  <c r="G403" i="2"/>
  <c r="L83" i="1" s="1"/>
  <c r="W137" i="2"/>
  <c r="G133" i="2"/>
  <c r="L19" i="1" s="1"/>
  <c r="W603" i="2"/>
  <c r="G599" i="2"/>
  <c r="L71" i="1" s="1"/>
  <c r="W271" i="2"/>
  <c r="G267" i="2"/>
  <c r="L63" i="1" s="1"/>
  <c r="K787" i="2"/>
  <c r="K789" i="2" s="1"/>
  <c r="K70" i="1" s="1"/>
  <c r="I110" i="1"/>
  <c r="I70" i="1"/>
  <c r="G223" i="2"/>
  <c r="L91" i="1" s="1"/>
  <c r="W227" i="2"/>
  <c r="G118" i="2"/>
  <c r="L82" i="1" s="1"/>
  <c r="W122" i="2"/>
  <c r="W331" i="2"/>
  <c r="W1082" i="2"/>
  <c r="G1078" i="2"/>
  <c r="L92" i="1" s="1"/>
  <c r="K390" i="2"/>
  <c r="W681" i="2"/>
  <c r="G677" i="2"/>
  <c r="L79" i="1" s="1"/>
  <c r="W935" i="2"/>
  <c r="G931" i="2"/>
  <c r="L89" i="1" s="1"/>
  <c r="I357" i="2"/>
  <c r="K357" i="2" s="1"/>
  <c r="K359" i="2" s="1"/>
  <c r="E49" i="1"/>
  <c r="W47" i="2"/>
  <c r="K119" i="2"/>
  <c r="J82" i="1" s="1"/>
  <c r="E82" i="1"/>
  <c r="G180" i="2"/>
  <c r="N42" i="1" s="1"/>
  <c r="W542" i="2"/>
  <c r="G538" i="2"/>
  <c r="L36" i="1" s="1"/>
  <c r="G773" i="2"/>
  <c r="N80" i="1" s="1"/>
  <c r="O66" i="1"/>
  <c r="E15" i="1"/>
  <c r="K59" i="2"/>
  <c r="J15" i="1" s="1"/>
  <c r="K58" i="2"/>
  <c r="G583" i="2"/>
  <c r="L67" i="1" s="1"/>
  <c r="W587" i="2"/>
  <c r="G585" i="2" s="1"/>
  <c r="N67" i="1" s="1"/>
  <c r="O96" i="1"/>
  <c r="K950" i="2"/>
  <c r="K998" i="2"/>
  <c r="O132" i="1"/>
  <c r="K149" i="2"/>
  <c r="J86" i="1" s="1"/>
  <c r="E86" i="1"/>
  <c r="Y241" i="2"/>
  <c r="G241" i="2" s="1"/>
  <c r="P46" i="1" s="1"/>
  <c r="O63" i="1"/>
  <c r="W376" i="2"/>
  <c r="G372" i="2"/>
  <c r="L49" i="1" s="1"/>
  <c r="W107" i="2"/>
  <c r="W316" i="2"/>
  <c r="W557" i="2"/>
  <c r="G553" i="2"/>
  <c r="W152" i="2"/>
  <c r="E55" i="1"/>
  <c r="K61" i="2"/>
  <c r="O15" i="1"/>
  <c r="W422" i="2"/>
  <c r="G418" i="2"/>
  <c r="L84" i="1" s="1"/>
  <c r="W497" i="2"/>
  <c r="G493" i="2"/>
  <c r="L34" i="1" s="1"/>
  <c r="K105" i="2"/>
  <c r="K107" i="2" s="1"/>
  <c r="Q18" i="1" s="1"/>
  <c r="Y1031" i="2"/>
  <c r="G1034" i="2" s="1"/>
  <c r="P21" i="1" s="1"/>
  <c r="G1032" i="2"/>
  <c r="N21" i="1" s="1"/>
  <c r="K508" i="2"/>
  <c r="E35" i="1"/>
  <c r="E37" i="1" s="1"/>
  <c r="K790" i="2"/>
  <c r="O85" i="1"/>
  <c r="K404" i="2"/>
  <c r="J83" i="1" s="1"/>
  <c r="E83" i="1"/>
  <c r="Y1015" i="2"/>
  <c r="G1015" i="2" s="1"/>
  <c r="G1013" i="2"/>
  <c r="I16" i="1"/>
  <c r="K13" i="2"/>
  <c r="E21" i="1"/>
  <c r="K1031" i="2"/>
  <c r="J21" i="1" s="1"/>
  <c r="K509" i="2"/>
  <c r="J35" i="1" s="1"/>
  <c r="J37" i="1" s="1"/>
  <c r="O49" i="1"/>
  <c r="K91" i="2"/>
  <c r="O78" i="1"/>
  <c r="Y256" i="2"/>
  <c r="G256" i="2" s="1"/>
  <c r="P64" i="1" s="1"/>
  <c r="G254" i="2"/>
  <c r="N64" i="1" s="1"/>
  <c r="K997" i="2"/>
  <c r="K132" i="1" s="1"/>
  <c r="O17" i="1"/>
  <c r="I448" i="2"/>
  <c r="K448" i="2" s="1"/>
  <c r="K450" i="2" s="1"/>
  <c r="K27" i="1" s="1"/>
  <c r="I237" i="2"/>
  <c r="K237" i="2" s="1"/>
  <c r="K239" i="2" s="1"/>
  <c r="K241" i="2" s="1"/>
  <c r="Q46" i="1" s="1"/>
  <c r="K464" i="2"/>
  <c r="J28" i="1" s="1"/>
  <c r="J30" i="1" s="1"/>
  <c r="K252" i="2"/>
  <c r="I754" i="2"/>
  <c r="K754" i="2" s="1"/>
  <c r="K756" i="2" s="1"/>
  <c r="O93" i="1"/>
  <c r="K966" i="2"/>
  <c r="W391" i="2"/>
  <c r="K902" i="2"/>
  <c r="O87" i="1"/>
  <c r="I433" i="2"/>
  <c r="I29" i="1" s="1"/>
  <c r="I223" i="2"/>
  <c r="K679" i="2"/>
  <c r="K79" i="1" s="1"/>
  <c r="I979" i="2"/>
  <c r="I90" i="1" s="1"/>
  <c r="K418" i="2"/>
  <c r="K420" i="2" s="1"/>
  <c r="K422" i="2" s="1"/>
  <c r="Q84" i="1" s="1"/>
  <c r="I88" i="1"/>
  <c r="K915" i="2"/>
  <c r="K917" i="2" s="1"/>
  <c r="K88" i="1" s="1"/>
  <c r="I867" i="2"/>
  <c r="K867" i="2" s="1"/>
  <c r="K869" i="2" s="1"/>
  <c r="I478" i="2"/>
  <c r="K478" i="2" s="1"/>
  <c r="K480" i="2" s="1"/>
  <c r="K26" i="1" s="1"/>
  <c r="I614" i="2"/>
  <c r="I692" i="2"/>
  <c r="K1015" i="2"/>
  <c r="R15" i="3"/>
  <c r="G29" i="1"/>
  <c r="I899" i="2"/>
  <c r="I87" i="1" s="1"/>
  <c r="K118" i="2"/>
  <c r="K120" i="2" s="1"/>
  <c r="K122" i="2" s="1"/>
  <c r="Q82" i="1" s="1"/>
  <c r="I82" i="1"/>
  <c r="K148" i="2"/>
  <c r="I86" i="1"/>
  <c r="K947" i="2"/>
  <c r="K949" i="2" s="1"/>
  <c r="K96" i="1" s="1"/>
  <c r="I96" i="1"/>
  <c r="K645" i="2"/>
  <c r="K647" i="2" s="1"/>
  <c r="K372" i="2"/>
  <c r="K374" i="2" s="1"/>
  <c r="K49" i="1" s="1"/>
  <c r="K344" i="2"/>
  <c r="K51" i="1" s="1"/>
  <c r="J56" i="1"/>
  <c r="I53" i="1"/>
  <c r="K195" i="2"/>
  <c r="K45" i="1" s="1"/>
  <c r="F91" i="1"/>
  <c r="I163" i="2"/>
  <c r="W63" i="2"/>
  <c r="Y63" i="2" s="1"/>
  <c r="W64" i="2" s="1"/>
  <c r="Y64" i="2" s="1"/>
  <c r="W65" i="2" s="1"/>
  <c r="Y65" i="2" s="1"/>
  <c r="O44" i="1"/>
  <c r="O41" i="1"/>
  <c r="O33" i="1"/>
  <c r="G525" i="2"/>
  <c r="N33" i="1" s="1"/>
  <c r="Y212" i="2"/>
  <c r="G212" i="2" s="1"/>
  <c r="P85" i="1" s="1"/>
  <c r="O82" i="1"/>
  <c r="I739" i="2"/>
  <c r="K739" i="2" s="1"/>
  <c r="K741" i="2" s="1"/>
  <c r="R317" i="2"/>
  <c r="R318" i="2" s="1"/>
  <c r="R319" i="2" s="1"/>
  <c r="K254" i="2"/>
  <c r="K256" i="2" s="1"/>
  <c r="Q64" i="1" s="1"/>
  <c r="K269" i="2"/>
  <c r="K63" i="1" s="1"/>
  <c r="K297" i="2"/>
  <c r="K299" i="2" s="1"/>
  <c r="K301" i="2" s="1"/>
  <c r="Q60" i="1" s="1"/>
  <c r="I60" i="1"/>
  <c r="I662" i="2"/>
  <c r="K662" i="2" s="1"/>
  <c r="K664" i="2" s="1"/>
  <c r="O92" i="1"/>
  <c r="I33" i="1"/>
  <c r="I538" i="2"/>
  <c r="K538" i="2" s="1"/>
  <c r="K540" i="2" s="1"/>
  <c r="K493" i="2"/>
  <c r="K495" i="2" s="1"/>
  <c r="K497" i="2" s="1"/>
  <c r="Q34" i="1" s="1"/>
  <c r="J47" i="1"/>
  <c r="K20" i="1"/>
  <c r="K32" i="2"/>
  <c r="K17" i="1"/>
  <c r="K1050" i="2"/>
  <c r="Q17" i="1" s="1"/>
  <c r="K180" i="2"/>
  <c r="I132" i="1"/>
  <c r="K77" i="2"/>
  <c r="Q14" i="1" s="1"/>
  <c r="I65" i="1"/>
  <c r="K853" i="2"/>
  <c r="I84" i="1"/>
  <c r="K708" i="2"/>
  <c r="K710" i="2" s="1"/>
  <c r="K73" i="1" s="1"/>
  <c r="K88" i="2"/>
  <c r="K90" i="2" s="1"/>
  <c r="I45" i="1"/>
  <c r="K133" i="2"/>
  <c r="K135" i="2" s="1"/>
  <c r="K19" i="1" s="1"/>
  <c r="K525" i="2"/>
  <c r="K33" i="1" s="1"/>
  <c r="I42" i="1"/>
  <c r="K568" i="2"/>
  <c r="K570" i="2" s="1"/>
  <c r="K572" i="2" s="1"/>
  <c r="Q41" i="1" s="1"/>
  <c r="W807" i="2"/>
  <c r="G803" i="2"/>
  <c r="L65" i="1" s="1"/>
  <c r="I22" i="1"/>
  <c r="K43" i="2"/>
  <c r="K45" i="2" s="1"/>
  <c r="W437" i="2"/>
  <c r="G433" i="2"/>
  <c r="L29" i="1" s="1"/>
  <c r="W512" i="2"/>
  <c r="G508" i="2"/>
  <c r="L35" i="1" s="1"/>
  <c r="W951" i="2"/>
  <c r="G947" i="2"/>
  <c r="L96" i="1" s="1"/>
  <c r="G819" i="2"/>
  <c r="L74" i="1" s="1"/>
  <c r="W823" i="2"/>
  <c r="W666" i="2"/>
  <c r="G662" i="2"/>
  <c r="L59" i="1" s="1"/>
  <c r="W839" i="2"/>
  <c r="G835" i="2"/>
  <c r="L81" i="1" s="1"/>
  <c r="W967" i="2"/>
  <c r="G963" i="2"/>
  <c r="L93" i="1" s="1"/>
  <c r="W467" i="2"/>
  <c r="G463" i="2"/>
  <c r="L28" i="1" s="1"/>
  <c r="W791" i="2"/>
  <c r="G787" i="2"/>
  <c r="W887" i="2"/>
  <c r="G883" i="2"/>
  <c r="L72" i="1" s="1"/>
  <c r="W1066" i="2"/>
  <c r="G1062" i="2"/>
  <c r="L94" i="1" s="1"/>
  <c r="G629" i="2"/>
  <c r="L62" i="1" s="1"/>
  <c r="W633" i="2"/>
  <c r="W452" i="2"/>
  <c r="G448" i="2"/>
  <c r="L27" i="1" s="1"/>
  <c r="W855" i="2"/>
  <c r="G851" i="2"/>
  <c r="G357" i="2"/>
  <c r="L52" i="1" s="1"/>
  <c r="W361" i="2"/>
  <c r="G1046" i="2"/>
  <c r="L17" i="1" s="1"/>
  <c r="W1047" i="2"/>
  <c r="W728" i="2"/>
  <c r="G724" i="2"/>
  <c r="L50" i="1" s="1"/>
  <c r="K52" i="1"/>
  <c r="G478" i="2"/>
  <c r="L26" i="1" s="1"/>
  <c r="W482" i="2"/>
  <c r="W903" i="2"/>
  <c r="G899" i="2"/>
  <c r="L87" i="1" s="1"/>
  <c r="K330" i="2"/>
  <c r="O55" i="1"/>
  <c r="K226" i="2"/>
  <c r="O91" i="1"/>
  <c r="W999" i="2"/>
  <c r="G995" i="2"/>
  <c r="L132" i="1" s="1"/>
  <c r="K136" i="2"/>
  <c r="O19" i="1"/>
  <c r="I724" i="2"/>
  <c r="K451" i="2"/>
  <c r="O27" i="1"/>
  <c r="I93" i="1"/>
  <c r="K965" i="2"/>
  <c r="O72" i="1"/>
  <c r="K886" i="2"/>
  <c r="I92" i="1"/>
  <c r="K1078" i="2"/>
  <c r="K1080" i="2" s="1"/>
  <c r="M101" i="1"/>
  <c r="I95" i="1"/>
  <c r="K692" i="2"/>
  <c r="K694" i="2" s="1"/>
  <c r="I44" i="1"/>
  <c r="K819" i="2"/>
  <c r="K821" i="2" s="1"/>
  <c r="I74" i="1"/>
  <c r="G869" i="2"/>
  <c r="N69" i="1" s="1"/>
  <c r="Y871" i="2"/>
  <c r="G871" i="2" s="1"/>
  <c r="P69" i="1" s="1"/>
  <c r="G692" i="2"/>
  <c r="L95" i="1" s="1"/>
  <c r="W696" i="2"/>
  <c r="K285" i="2"/>
  <c r="O61" i="1"/>
  <c r="O83" i="1"/>
  <c r="K406" i="2"/>
  <c r="O97" i="1"/>
  <c r="K556" i="2"/>
  <c r="K557" i="2" s="1"/>
  <c r="Q97" i="1" s="1"/>
  <c r="O42" i="1"/>
  <c r="K918" i="2"/>
  <c r="O88" i="1"/>
  <c r="O21" i="1"/>
  <c r="K1033" i="2"/>
  <c r="I629" i="2"/>
  <c r="I69" i="1"/>
  <c r="I91" i="1"/>
  <c r="K223" i="2"/>
  <c r="K225" i="2" s="1"/>
  <c r="G867" i="2"/>
  <c r="L69" i="1" s="1"/>
  <c r="L97" i="1"/>
  <c r="W917" i="2"/>
  <c r="Y917" i="2" s="1"/>
  <c r="U918" i="2" s="1"/>
  <c r="W918" i="2" s="1"/>
  <c r="Y918" i="2" s="1"/>
  <c r="U919" i="2" s="1"/>
  <c r="W758" i="2"/>
  <c r="G754" i="2"/>
  <c r="L53" i="1" s="1"/>
  <c r="I312" i="2"/>
  <c r="I83" i="1"/>
  <c r="I51" i="1"/>
  <c r="K934" i="2"/>
  <c r="O89" i="1"/>
  <c r="K870" i="2"/>
  <c r="O69" i="1"/>
  <c r="K839" i="2"/>
  <c r="K81" i="1"/>
  <c r="E99" i="1" l="1"/>
  <c r="J99" i="1"/>
  <c r="E75" i="1"/>
  <c r="E56" i="1"/>
  <c r="J75" i="1"/>
  <c r="E47" i="1"/>
  <c r="G75" i="2"/>
  <c r="N14" i="1" s="1"/>
  <c r="Y77" i="2"/>
  <c r="G77" i="2" s="1"/>
  <c r="P14" i="1" s="1"/>
  <c r="K807" i="2"/>
  <c r="Q65" i="1" s="1"/>
  <c r="K65" i="1"/>
  <c r="I72" i="1"/>
  <c r="K18" i="1"/>
  <c r="K527" i="2"/>
  <c r="Q33" i="1" s="1"/>
  <c r="I26" i="1"/>
  <c r="I89" i="1"/>
  <c r="K15" i="2"/>
  <c r="W649" i="2"/>
  <c r="K391" i="2"/>
  <c r="Q54" i="1" s="1"/>
  <c r="K361" i="2"/>
  <c r="Q52" i="1" s="1"/>
  <c r="K46" i="1"/>
  <c r="K935" i="2"/>
  <c r="Q89" i="1" s="1"/>
  <c r="I52" i="1"/>
  <c r="I54" i="1"/>
  <c r="K585" i="2"/>
  <c r="G983" i="2"/>
  <c r="P90" i="1" s="1"/>
  <c r="G237" i="2"/>
  <c r="L46" i="1" s="1"/>
  <c r="K85" i="1"/>
  <c r="K212" i="2"/>
  <c r="Q85" i="1" s="1"/>
  <c r="K1066" i="2"/>
  <c r="Q94" i="1" s="1"/>
  <c r="K94" i="1"/>
  <c r="I97" i="1"/>
  <c r="K84" i="1"/>
  <c r="K433" i="2"/>
  <c r="K435" i="2" s="1"/>
  <c r="K29" i="1" s="1"/>
  <c r="K463" i="2"/>
  <c r="K465" i="2" s="1"/>
  <c r="K28" i="1" s="1"/>
  <c r="I94" i="1"/>
  <c r="G299" i="2"/>
  <c r="N60" i="1" s="1"/>
  <c r="Y301" i="2"/>
  <c r="G301" i="2" s="1"/>
  <c r="P60" i="1" s="1"/>
  <c r="G30" i="2"/>
  <c r="N20" i="1" s="1"/>
  <c r="I71" i="1"/>
  <c r="J23" i="1"/>
  <c r="E23" i="1"/>
  <c r="K899" i="2"/>
  <c r="K901" i="2" s="1"/>
  <c r="K87" i="1" s="1"/>
  <c r="K1032" i="2"/>
  <c r="K21" i="1" s="1"/>
  <c r="K60" i="2"/>
  <c r="K331" i="2"/>
  <c r="Q55" i="1" s="1"/>
  <c r="Y497" i="2"/>
  <c r="G497" i="2" s="1"/>
  <c r="P34" i="1" s="1"/>
  <c r="G495" i="2"/>
  <c r="N34" i="1" s="1"/>
  <c r="Y542" i="2"/>
  <c r="G542" i="2" s="1"/>
  <c r="P36" i="1" s="1"/>
  <c r="G540" i="2"/>
  <c r="N36" i="1" s="1"/>
  <c r="Y1082" i="2"/>
  <c r="G1082" i="2" s="1"/>
  <c r="P92" i="1" s="1"/>
  <c r="G1080" i="2"/>
  <c r="N92" i="1" s="1"/>
  <c r="K110" i="1"/>
  <c r="Y391" i="2"/>
  <c r="G391" i="2" s="1"/>
  <c r="P54" i="1" s="1"/>
  <c r="G389" i="2"/>
  <c r="N54" i="1" s="1"/>
  <c r="Y422" i="2"/>
  <c r="G422" i="2" s="1"/>
  <c r="P84" i="1" s="1"/>
  <c r="G420" i="2"/>
  <c r="N84" i="1" s="1"/>
  <c r="K979" i="2"/>
  <c r="K981" i="2" s="1"/>
  <c r="G405" i="2"/>
  <c r="N83" i="1" s="1"/>
  <c r="I27" i="1"/>
  <c r="K150" i="2"/>
  <c r="Y107" i="2"/>
  <c r="G107" i="2" s="1"/>
  <c r="P18" i="1" s="1"/>
  <c r="G105" i="2"/>
  <c r="N18" i="1" s="1"/>
  <c r="Y47" i="2"/>
  <c r="G47" i="2" s="1"/>
  <c r="P22" i="1" s="1"/>
  <c r="G45" i="2"/>
  <c r="N22" i="1" s="1"/>
  <c r="Y681" i="2"/>
  <c r="G681" i="2" s="1"/>
  <c r="P79" i="1" s="1"/>
  <c r="G679" i="2"/>
  <c r="N79" i="1" s="1"/>
  <c r="Y227" i="2"/>
  <c r="G227" i="2" s="1"/>
  <c r="P91" i="1" s="1"/>
  <c r="G225" i="2"/>
  <c r="N91" i="1" s="1"/>
  <c r="Y603" i="2"/>
  <c r="G601" i="2"/>
  <c r="N71" i="1" s="1"/>
  <c r="K197" i="2"/>
  <c r="Q45" i="1" s="1"/>
  <c r="I43" i="1"/>
  <c r="K614" i="2"/>
  <c r="K616" i="2" s="1"/>
  <c r="G90" i="2"/>
  <c r="N78" i="1" s="1"/>
  <c r="Y92" i="2"/>
  <c r="Y62" i="2"/>
  <c r="G62" i="2" s="1"/>
  <c r="P15" i="1" s="1"/>
  <c r="G60" i="2"/>
  <c r="N15" i="1" s="1"/>
  <c r="Y935" i="2"/>
  <c r="G935" i="2" s="1"/>
  <c r="P89" i="1" s="1"/>
  <c r="G933" i="2"/>
  <c r="N89" i="1" s="1"/>
  <c r="K510" i="2"/>
  <c r="K35" i="1" s="1"/>
  <c r="Y316" i="2"/>
  <c r="G316" i="2" s="1"/>
  <c r="P66" i="1" s="1"/>
  <c r="G314" i="2"/>
  <c r="N66" i="1" s="1"/>
  <c r="Y122" i="2"/>
  <c r="G122" i="2" s="1"/>
  <c r="P82" i="1" s="1"/>
  <c r="G120" i="2"/>
  <c r="N82" i="1" s="1"/>
  <c r="Y557" i="2"/>
  <c r="G557" i="2" s="1"/>
  <c r="P97" i="1" s="1"/>
  <c r="G555" i="2"/>
  <c r="N97" i="1" s="1"/>
  <c r="Y331" i="2"/>
  <c r="G331" i="2" s="1"/>
  <c r="P55" i="1" s="1"/>
  <c r="G329" i="2"/>
  <c r="N55" i="1" s="1"/>
  <c r="I46" i="1"/>
  <c r="K60" i="1"/>
  <c r="Y271" i="2"/>
  <c r="G269" i="2"/>
  <c r="N63" i="1" s="1"/>
  <c r="Y587" i="2"/>
  <c r="G587" i="2" s="1"/>
  <c r="P67" i="1" s="1"/>
  <c r="G165" i="2"/>
  <c r="N40" i="1" s="1"/>
  <c r="Y167" i="2"/>
  <c r="G167" i="2" s="1"/>
  <c r="P40" i="1" s="1"/>
  <c r="K282" i="2"/>
  <c r="K284" i="2" s="1"/>
  <c r="K61" i="1" s="1"/>
  <c r="K791" i="2"/>
  <c r="Q70" i="1" s="1"/>
  <c r="Y152" i="2"/>
  <c r="G152" i="2" s="1"/>
  <c r="P86" i="1" s="1"/>
  <c r="G150" i="2"/>
  <c r="N86" i="1" s="1"/>
  <c r="Y376" i="2"/>
  <c r="G376" i="2" s="1"/>
  <c r="P49" i="1" s="1"/>
  <c r="G374" i="2"/>
  <c r="N49" i="1" s="1"/>
  <c r="Y137" i="2"/>
  <c r="G137" i="2" s="1"/>
  <c r="P19" i="1" s="1"/>
  <c r="G135" i="2"/>
  <c r="N19" i="1" s="1"/>
  <c r="Y286" i="2"/>
  <c r="G286" i="2" s="1"/>
  <c r="P61" i="1" s="1"/>
  <c r="G284" i="2"/>
  <c r="N61" i="1" s="1"/>
  <c r="K603" i="2"/>
  <c r="Q71" i="1" s="1"/>
  <c r="K681" i="2"/>
  <c r="Q79" i="1" s="1"/>
  <c r="K405" i="2"/>
  <c r="K83" i="1" s="1"/>
  <c r="Y572" i="2"/>
  <c r="G572" i="2" s="1"/>
  <c r="P41" i="1" s="1"/>
  <c r="G570" i="2"/>
  <c r="N41" i="1" s="1"/>
  <c r="K919" i="2"/>
  <c r="Q88" i="1" s="1"/>
  <c r="K903" i="2"/>
  <c r="K82" i="1"/>
  <c r="K951" i="2"/>
  <c r="Q96" i="1" s="1"/>
  <c r="K452" i="2"/>
  <c r="Q27" i="1" s="1"/>
  <c r="K376" i="2"/>
  <c r="Q49" i="1" s="1"/>
  <c r="K346" i="2"/>
  <c r="Q51" i="1" s="1"/>
  <c r="D51" i="1" s="1"/>
  <c r="K758" i="2"/>
  <c r="Q53" i="1" s="1"/>
  <c r="K53" i="1"/>
  <c r="K163" i="2"/>
  <c r="K165" i="2" s="1"/>
  <c r="I40" i="1"/>
  <c r="O101" i="1"/>
  <c r="K712" i="2"/>
  <c r="Q73" i="1" s="1"/>
  <c r="I68" i="1"/>
  <c r="K64" i="1"/>
  <c r="K271" i="2"/>
  <c r="Q63" i="1" s="1"/>
  <c r="I59" i="1"/>
  <c r="I80" i="1"/>
  <c r="K775" i="2"/>
  <c r="Q80" i="1" s="1"/>
  <c r="I36" i="1"/>
  <c r="K34" i="1"/>
  <c r="K482" i="2"/>
  <c r="Q26" i="1" s="1"/>
  <c r="K41" i="1"/>
  <c r="K587" i="2"/>
  <c r="Q67" i="1" s="1"/>
  <c r="K67" i="1"/>
  <c r="K182" i="2"/>
  <c r="Q42" i="1" s="1"/>
  <c r="K42" i="1"/>
  <c r="K92" i="2"/>
  <c r="Q78" i="1" s="1"/>
  <c r="K78" i="1"/>
  <c r="K137" i="2"/>
  <c r="Q19" i="1" s="1"/>
  <c r="K59" i="1"/>
  <c r="K666" i="2"/>
  <c r="Q59" i="1" s="1"/>
  <c r="Y512" i="2"/>
  <c r="G512" i="2" s="1"/>
  <c r="P35" i="1" s="1"/>
  <c r="G510" i="2"/>
  <c r="N35" i="1" s="1"/>
  <c r="E125" i="1"/>
  <c r="G694" i="2"/>
  <c r="N95" i="1" s="1"/>
  <c r="Y696" i="2"/>
  <c r="K95" i="1"/>
  <c r="K696" i="2"/>
  <c r="Q95" i="1" s="1"/>
  <c r="G450" i="2"/>
  <c r="N27" i="1" s="1"/>
  <c r="Y452" i="2"/>
  <c r="K227" i="2"/>
  <c r="K91" i="1"/>
  <c r="Y437" i="2"/>
  <c r="G435" i="2"/>
  <c r="N29" i="1" s="1"/>
  <c r="G821" i="2"/>
  <c r="N74" i="1" s="1"/>
  <c r="Y823" i="2"/>
  <c r="G823" i="2" s="1"/>
  <c r="P74" i="1" s="1"/>
  <c r="I62" i="1"/>
  <c r="K629" i="2"/>
  <c r="K631" i="2" s="1"/>
  <c r="K44" i="1"/>
  <c r="K649" i="2"/>
  <c r="Q44" i="1" s="1"/>
  <c r="Y839" i="2"/>
  <c r="G839" i="2" s="1"/>
  <c r="P81" i="1" s="1"/>
  <c r="G837" i="2"/>
  <c r="N81" i="1" s="1"/>
  <c r="K1082" i="2"/>
  <c r="Q92" i="1" s="1"/>
  <c r="K92" i="1"/>
  <c r="G789" i="2"/>
  <c r="Y791" i="2"/>
  <c r="G791" i="2" s="1"/>
  <c r="K724" i="2"/>
  <c r="K726" i="2" s="1"/>
  <c r="I50" i="1"/>
  <c r="Y903" i="2"/>
  <c r="G903" i="2" s="1"/>
  <c r="P87" i="1" s="1"/>
  <c r="G901" i="2"/>
  <c r="N87" i="1" s="1"/>
  <c r="Y633" i="2"/>
  <c r="G633" i="2" s="1"/>
  <c r="P62" i="1" s="1"/>
  <c r="G631" i="2"/>
  <c r="N62" i="1" s="1"/>
  <c r="K47" i="2"/>
  <c r="K22" i="1"/>
  <c r="I66" i="1"/>
  <c r="K312" i="2"/>
  <c r="K314" i="2" s="1"/>
  <c r="K542" i="2"/>
  <c r="Q36" i="1" s="1"/>
  <c r="K36" i="1"/>
  <c r="Y361" i="2"/>
  <c r="G359" i="2"/>
  <c r="N52" i="1" s="1"/>
  <c r="Y467" i="2"/>
  <c r="G465" i="2"/>
  <c r="N28" i="1" s="1"/>
  <c r="K69" i="1"/>
  <c r="K871" i="2"/>
  <c r="Q69" i="1" s="1"/>
  <c r="Y887" i="2"/>
  <c r="G887" i="2" s="1"/>
  <c r="P72" i="1" s="1"/>
  <c r="G885" i="2"/>
  <c r="N72" i="1" s="1"/>
  <c r="Y728" i="2"/>
  <c r="G728" i="2" s="1"/>
  <c r="P50" i="1" s="1"/>
  <c r="G726" i="2"/>
  <c r="N50" i="1" s="1"/>
  <c r="L70" i="1"/>
  <c r="L110" i="1"/>
  <c r="G1048" i="2"/>
  <c r="N17" i="1" s="1"/>
  <c r="Y1047" i="2"/>
  <c r="G1050" i="2" s="1"/>
  <c r="P17" i="1" s="1"/>
  <c r="Y666" i="2"/>
  <c r="G666" i="2" s="1"/>
  <c r="P59" i="1" s="1"/>
  <c r="G664" i="2"/>
  <c r="N59" i="1" s="1"/>
  <c r="K887" i="2"/>
  <c r="Q72" i="1" s="1"/>
  <c r="K72" i="1"/>
  <c r="Y482" i="2"/>
  <c r="G482" i="2" s="1"/>
  <c r="P26" i="1" s="1"/>
  <c r="G480" i="2"/>
  <c r="N26" i="1" s="1"/>
  <c r="K93" i="1"/>
  <c r="K967" i="2"/>
  <c r="Q93" i="1" s="1"/>
  <c r="G756" i="2"/>
  <c r="N53" i="1" s="1"/>
  <c r="Y758" i="2"/>
  <c r="G758" i="2" s="1"/>
  <c r="P53" i="1" s="1"/>
  <c r="K823" i="2"/>
  <c r="Q74" i="1" s="1"/>
  <c r="K74" i="1"/>
  <c r="G997" i="2"/>
  <c r="N132" i="1" s="1"/>
  <c r="Y999" i="2"/>
  <c r="G999" i="2" s="1"/>
  <c r="P132" i="1" s="1"/>
  <c r="G1064" i="2"/>
  <c r="N94" i="1" s="1"/>
  <c r="Y1066" i="2"/>
  <c r="G1066" i="2" s="1"/>
  <c r="P94" i="1" s="1"/>
  <c r="Y967" i="2"/>
  <c r="G967" i="2" s="1"/>
  <c r="P93" i="1" s="1"/>
  <c r="G965" i="2"/>
  <c r="N93" i="1" s="1"/>
  <c r="Y951" i="2"/>
  <c r="G951" i="2" s="1"/>
  <c r="P96" i="1" s="1"/>
  <c r="G949" i="2"/>
  <c r="N96" i="1" s="1"/>
  <c r="G805" i="2"/>
  <c r="N65" i="1" s="1"/>
  <c r="Y807" i="2"/>
  <c r="G807" i="2" s="1"/>
  <c r="P65" i="1" s="1"/>
  <c r="W919" i="2"/>
  <c r="G915" i="2"/>
  <c r="L88" i="1" s="1"/>
  <c r="K68" i="1"/>
  <c r="K743" i="2"/>
  <c r="Q68" i="1" s="1"/>
  <c r="G853" i="2"/>
  <c r="Y855" i="2"/>
  <c r="G855" i="2" s="1"/>
  <c r="Q81" i="1"/>
  <c r="S132" i="1" l="1"/>
  <c r="K16" i="1"/>
  <c r="K17" i="2"/>
  <c r="Q16" i="1" s="1"/>
  <c r="R50" i="1"/>
  <c r="E101" i="1"/>
  <c r="K30" i="1"/>
  <c r="J101" i="1"/>
  <c r="Y649" i="2"/>
  <c r="G649" i="2" s="1"/>
  <c r="P44" i="1" s="1"/>
  <c r="G647" i="2"/>
  <c r="N44" i="1" s="1"/>
  <c r="K437" i="2"/>
  <c r="Q29" i="1" s="1"/>
  <c r="K467" i="2"/>
  <c r="Q28" i="1" s="1"/>
  <c r="AB132" i="2"/>
  <c r="K512" i="2"/>
  <c r="Q35" i="1" s="1"/>
  <c r="Q37" i="1" s="1"/>
  <c r="E120" i="1" s="1"/>
  <c r="Q110" i="1"/>
  <c r="D110" i="1" s="1"/>
  <c r="K15" i="1"/>
  <c r="K23" i="1" s="1"/>
  <c r="K62" i="2"/>
  <c r="Q15" i="1" s="1"/>
  <c r="T18" i="1" s="1"/>
  <c r="K407" i="2"/>
  <c r="Q83" i="1" s="1"/>
  <c r="K1034" i="2"/>
  <c r="Q21" i="1" s="1"/>
  <c r="Q87" i="1"/>
  <c r="K983" i="2"/>
  <c r="Q90" i="1" s="1"/>
  <c r="K90" i="1"/>
  <c r="G271" i="2"/>
  <c r="P63" i="1" s="1"/>
  <c r="U272" i="2"/>
  <c r="W272" i="2" s="1"/>
  <c r="Y272" i="2" s="1"/>
  <c r="U273" i="2" s="1"/>
  <c r="W273" i="2" s="1"/>
  <c r="Y273" i="2" s="1"/>
  <c r="U274" i="2" s="1"/>
  <c r="W274" i="2" s="1"/>
  <c r="Y274" i="2" s="1"/>
  <c r="U604" i="2"/>
  <c r="W604" i="2" s="1"/>
  <c r="Y604" i="2" s="1"/>
  <c r="U605" i="2" s="1"/>
  <c r="W605" i="2" s="1"/>
  <c r="Y605" i="2" s="1"/>
  <c r="U606" i="2" s="1"/>
  <c r="W606" i="2" s="1"/>
  <c r="Y606" i="2" s="1"/>
  <c r="G603" i="2"/>
  <c r="P71" i="1" s="1"/>
  <c r="K37" i="1"/>
  <c r="K286" i="2"/>
  <c r="Q61" i="1" s="1"/>
  <c r="G92" i="2"/>
  <c r="P78" i="1" s="1"/>
  <c r="U93" i="2"/>
  <c r="W93" i="2" s="1"/>
  <c r="Y93" i="2" s="1"/>
  <c r="U94" i="2" s="1"/>
  <c r="W94" i="2" s="1"/>
  <c r="Y94" i="2" s="1"/>
  <c r="U95" i="2" s="1"/>
  <c r="W95" i="2" s="1"/>
  <c r="Y95" i="2" s="1"/>
  <c r="K86" i="1"/>
  <c r="K152" i="2"/>
  <c r="Q86" i="1" s="1"/>
  <c r="G467" i="2"/>
  <c r="P28" i="1" s="1"/>
  <c r="U468" i="2"/>
  <c r="W468" i="2" s="1"/>
  <c r="Y468" i="2" s="1"/>
  <c r="K43" i="1"/>
  <c r="K618" i="2"/>
  <c r="Q43" i="1" s="1"/>
  <c r="L101" i="1"/>
  <c r="S55" i="1"/>
  <c r="K167" i="2"/>
  <c r="Q40" i="1" s="1"/>
  <c r="K40" i="1"/>
  <c r="G696" i="2"/>
  <c r="P95" i="1" s="1"/>
  <c r="U697" i="2"/>
  <c r="W697" i="2" s="1"/>
  <c r="Y697" i="2" s="1"/>
  <c r="U698" i="2" s="1"/>
  <c r="W698" i="2" s="1"/>
  <c r="Y698" i="2" s="1"/>
  <c r="U699" i="2" s="1"/>
  <c r="W699" i="2" s="1"/>
  <c r="Y699" i="2" s="1"/>
  <c r="Q91" i="1"/>
  <c r="AB222" i="2"/>
  <c r="K66" i="1"/>
  <c r="K316" i="2"/>
  <c r="Q66" i="1" s="1"/>
  <c r="G917" i="2"/>
  <c r="N88" i="1" s="1"/>
  <c r="Y919" i="2"/>
  <c r="G919" i="2" s="1"/>
  <c r="P88" i="1" s="1"/>
  <c r="P70" i="1"/>
  <c r="P110" i="1"/>
  <c r="U362" i="2"/>
  <c r="W362" i="2" s="1"/>
  <c r="Y362" i="2" s="1"/>
  <c r="W363" i="2" s="1"/>
  <c r="Y363" i="2" s="1"/>
  <c r="G361" i="2"/>
  <c r="P52" i="1" s="1"/>
  <c r="K633" i="2"/>
  <c r="Q62" i="1" s="1"/>
  <c r="K62" i="1"/>
  <c r="U453" i="2"/>
  <c r="W453" i="2" s="1"/>
  <c r="Y453" i="2" s="1"/>
  <c r="U454" i="2" s="1"/>
  <c r="W454" i="2" s="1"/>
  <c r="Y454" i="2" s="1"/>
  <c r="G452" i="2"/>
  <c r="P27" i="1" s="1"/>
  <c r="K50" i="1"/>
  <c r="K56" i="1" s="1"/>
  <c r="K728" i="2"/>
  <c r="Q50" i="1" s="1"/>
  <c r="Q56" i="1" s="1"/>
  <c r="Q22" i="1"/>
  <c r="N110" i="1"/>
  <c r="N70" i="1"/>
  <c r="U438" i="2"/>
  <c r="W438" i="2" s="1"/>
  <c r="Y438" i="2" s="1"/>
  <c r="U439" i="2" s="1"/>
  <c r="W439" i="2" s="1"/>
  <c r="Y439" i="2" s="1"/>
  <c r="G437" i="2"/>
  <c r="P29" i="1" s="1"/>
  <c r="Q99" i="1" l="1"/>
  <c r="T53" i="1"/>
  <c r="R130" i="1"/>
  <c r="K99" i="1"/>
  <c r="S18" i="1"/>
  <c r="Q47" i="1"/>
  <c r="P8" i="3" s="1"/>
  <c r="R8" i="3" s="1"/>
  <c r="Q30" i="1"/>
  <c r="E119" i="1" s="1"/>
  <c r="Q23" i="1"/>
  <c r="E118" i="1" s="1"/>
  <c r="E124" i="1"/>
  <c r="S39" i="1"/>
  <c r="K47" i="1"/>
  <c r="E122" i="1"/>
  <c r="R56" i="1"/>
  <c r="S27" i="1"/>
  <c r="Y4" i="2"/>
  <c r="X4" i="2" s="1"/>
  <c r="K75" i="1"/>
  <c r="N101" i="1"/>
  <c r="E121" i="1"/>
  <c r="P101" i="1"/>
  <c r="T71" i="1"/>
  <c r="Q75" i="1"/>
  <c r="P12" i="3"/>
  <c r="D16" i="1" l="1"/>
  <c r="S31" i="1"/>
  <c r="P6" i="3"/>
  <c r="R6" i="3" s="1"/>
  <c r="Q101" i="1"/>
  <c r="D95" i="1"/>
  <c r="Q102" i="1"/>
  <c r="S104" i="1" s="1"/>
  <c r="S106" i="1" s="1"/>
  <c r="I115" i="1"/>
  <c r="E123" i="1"/>
  <c r="E127" i="1" s="1"/>
  <c r="U75" i="1"/>
  <c r="R75" i="1"/>
  <c r="R12" i="3"/>
  <c r="R16" i="3" s="1"/>
  <c r="P16" i="3"/>
  <c r="Q103" i="1" l="1"/>
  <c r="D107" i="1" s="1"/>
  <c r="D71" i="1" l="1"/>
  <c r="D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44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======
ID#AAABQ4e9LBQ
cc    (2024-07-05 10:29:57)
increased in FEB 20</t>
        </r>
      </text>
    </comment>
    <comment ref="V207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======
ID#AAABQ4e9LA8
Pioneer Engineeering    (2024-07-05 10:29:57)
deduct bonus amount Rs 12,000 as instructed by nadeem bhai</t>
        </r>
      </text>
    </comment>
    <comment ref="K489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======
ID#AAABQ4e9LBU
Pioneer Engineering    (2024-07-05 10:29:57)
25,000
2,000  8-12-22
27,000</t>
        </r>
      </text>
    </comment>
    <comment ref="V489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======
ID#AAABQ4e9LBM
Pioneer Engineeering    (2024-07-05 10:29:57)
MCB chq given to jahangeer on 1 Feb 22</t>
        </r>
      </text>
    </comment>
    <comment ref="K504" authorId="0" shapeId="0" xr:uid="{00000000-0006-0000-0100-000005000000}">
      <text>
        <r>
          <rPr>
            <sz val="10"/>
            <color rgb="FF000000"/>
            <rFont val="Arial"/>
            <family val="2"/>
            <scheme val="minor"/>
          </rPr>
          <t>======
ID#AAABQ4e9LA0
Pioneer Engineering    (2024-07-05 10:29:57)
32,500
2,000  8-12-22
34,500</t>
        </r>
      </text>
    </comment>
    <comment ref="K519" authorId="0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>======
ID#AAABQ4e9LBA
Pioneer Engineering    (2024-07-05 10:29:57)
24,500
2,000  8-12-22
26,500</t>
        </r>
      </text>
    </comment>
    <comment ref="K534" authorId="0" shapeId="0" xr:uid="{00000000-0006-0000-0100-000007000000}">
      <text>
        <r>
          <rPr>
            <sz val="10"/>
            <color rgb="FF000000"/>
            <rFont val="Arial"/>
            <family val="2"/>
            <scheme val="minor"/>
          </rPr>
          <t>======
ID#AAABQ4e9LBE
Pioneer Engineering    (2024-07-05 10:29:57)
21,000
1,000  8-12-22
22,000</t>
        </r>
      </text>
    </comment>
    <comment ref="V552" authorId="0" shapeId="0" xr:uid="{00000000-0006-0000-0100-000008000000}">
      <text>
        <r>
          <rPr>
            <sz val="10"/>
            <color rgb="FF000000"/>
            <rFont val="Arial"/>
            <family val="2"/>
            <scheme val="minor"/>
          </rPr>
          <t>======
ID#AAABQ4e9LBI
cc    (2024-07-05 10:29:57)
1000 huzaifa
1000 rehan</t>
        </r>
      </text>
    </comment>
    <comment ref="U582" authorId="0" shapeId="0" xr:uid="{00000000-0006-0000-0100-000009000000}">
      <text>
        <r>
          <rPr>
            <sz val="10"/>
            <color rgb="FF000000"/>
            <rFont val="Arial"/>
            <family val="2"/>
            <scheme val="minor"/>
          </rPr>
          <t>======
ID#AAABQ4e9LA4
cc    (2024-07-05 10:29:57)
less 4800 whick was mistakenly added</t>
        </r>
      </text>
    </comment>
    <comment ref="U613" authorId="0" shapeId="0" xr:uid="{00000000-0006-0000-0100-00000A000000}">
      <text>
        <r>
          <rPr>
            <sz val="10"/>
            <color rgb="FF000000"/>
            <rFont val="Arial"/>
            <family val="2"/>
            <scheme val="minor"/>
          </rPr>
          <t>======
ID#AAABQ4e9LBo
cc    (2024-07-05 10:29:57)
less 4800 whick was mistakenly added</t>
        </r>
      </text>
    </comment>
    <comment ref="U786" authorId="0" shapeId="0" xr:uid="{00000000-0006-0000-0100-00000B000000}">
      <text>
        <r>
          <rPr>
            <sz val="10"/>
            <color rgb="FF000000"/>
            <rFont val="Arial"/>
            <family val="2"/>
            <scheme val="minor"/>
          </rPr>
          <t>======
ID#AAABQ4e9LBg
cc    (2024-07-05 10:29:57)
less 4800 whick was mistakenly added</t>
        </r>
      </text>
    </comment>
    <comment ref="X788" authorId="0" shapeId="0" xr:uid="{00000000-0006-0000-0100-00000C000000}">
      <text>
        <r>
          <rPr>
            <sz val="10"/>
            <color rgb="FF000000"/>
            <rFont val="Arial"/>
            <family val="2"/>
            <scheme val="minor"/>
          </rPr>
          <t>======
ID#AAABQ4e9LBc
cc    (2024-07-05 10:29:57)
khalid bhai prv month salary 3000
4 days on june 20                4000
sheryar 3 night                    1920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zOhPTYIW/VOuuJGYEojSGAG6Ag=="/>
    </ext>
  </extLst>
</comments>
</file>

<file path=xl/sharedStrings.xml><?xml version="1.0" encoding="utf-8"?>
<sst xmlns="http://schemas.openxmlformats.org/spreadsheetml/2006/main" count="4460" uniqueCount="348">
  <si>
    <t xml:space="preserve">S a l a r y   S h e e t  for the month of </t>
  </si>
  <si>
    <t>Basic Salary</t>
  </si>
  <si>
    <t>P</t>
  </si>
  <si>
    <t>A</t>
  </si>
  <si>
    <t>Over Time</t>
  </si>
  <si>
    <t>Salary Days</t>
  </si>
  <si>
    <t>Over Time Amount</t>
  </si>
  <si>
    <t>Salary After OT</t>
  </si>
  <si>
    <t>Prev. Adv</t>
  </si>
  <si>
    <t>This month</t>
  </si>
  <si>
    <t>Total Adv</t>
  </si>
  <si>
    <t>Deduct</t>
  </si>
  <si>
    <t>Remain Adv</t>
  </si>
  <si>
    <t>Net Salary</t>
  </si>
  <si>
    <t>Contact Details</t>
  </si>
  <si>
    <t>Mr.Bilal Habib</t>
  </si>
  <si>
    <t>Mr.Nadeem Iqbal</t>
  </si>
  <si>
    <t>MHR Home Salaries</t>
  </si>
  <si>
    <t>Mossi Home upstairs</t>
  </si>
  <si>
    <t>MHR</t>
  </si>
  <si>
    <t>Driver</t>
  </si>
  <si>
    <t>Mossi Home D/stairs</t>
  </si>
  <si>
    <t>Home Expense</t>
  </si>
  <si>
    <t>Total</t>
  </si>
  <si>
    <t>Office Salaries</t>
  </si>
  <si>
    <t>Kamran office</t>
  </si>
  <si>
    <t>Rehan Aslam</t>
  </si>
  <si>
    <t>Office</t>
  </si>
  <si>
    <t>Nue MultiPlex Operation &amp; maintenance</t>
  </si>
  <si>
    <t>0343-3196182</t>
  </si>
  <si>
    <t>The Place DHA Phase VIII</t>
  </si>
  <si>
    <t>JPMC</t>
  </si>
  <si>
    <t>Mr. Imran</t>
  </si>
  <si>
    <t>0345-2198116</t>
  </si>
  <si>
    <t>Mr. Irfan</t>
  </si>
  <si>
    <t>0315-3075720</t>
  </si>
  <si>
    <t>0344-2077725</t>
  </si>
  <si>
    <t>Mr. Abid</t>
  </si>
  <si>
    <t>0305-2543567</t>
  </si>
  <si>
    <t>0322-2070510</t>
  </si>
  <si>
    <t>0300-2206271</t>
  </si>
  <si>
    <t>0344-3321067</t>
  </si>
  <si>
    <t>0346-5448896</t>
  </si>
  <si>
    <t>FTC Site Maintenance Salaries</t>
  </si>
  <si>
    <t>Mr. Sajjad</t>
  </si>
  <si>
    <t>ZMV</t>
  </si>
  <si>
    <t>0337-8049132</t>
  </si>
  <si>
    <t>0300 3393136</t>
  </si>
  <si>
    <t>NASTP</t>
  </si>
  <si>
    <t>FTC Floors</t>
  </si>
  <si>
    <t xml:space="preserve"> EY, ENGRO, TRIFIT, Bank Al Habib</t>
  </si>
  <si>
    <t>Mr. Jahangir</t>
  </si>
  <si>
    <t>Nue Multiplex</t>
  </si>
  <si>
    <t>0333-2993644</t>
  </si>
  <si>
    <t>0308-1993644</t>
  </si>
  <si>
    <t>Shahid painter</t>
  </si>
  <si>
    <t>0333-2292165</t>
  </si>
  <si>
    <t>0343-2163562</t>
  </si>
  <si>
    <t>Mr.Abbas Ishaq</t>
  </si>
  <si>
    <t>0345-3452595</t>
  </si>
  <si>
    <t>0341-2316764</t>
  </si>
  <si>
    <t>Total Amount</t>
  </si>
  <si>
    <t>Salaries Paid</t>
  </si>
  <si>
    <t xml:space="preserve">Remaining cash required </t>
  </si>
  <si>
    <t>Mr. Azeem Engg</t>
  </si>
  <si>
    <t>Indus Hospital</t>
  </si>
  <si>
    <t>EBM</t>
  </si>
  <si>
    <t xml:space="preserve">Mr. Khalid </t>
  </si>
  <si>
    <t>SPAR</t>
  </si>
  <si>
    <t>Salary Difference</t>
  </si>
  <si>
    <t>Site</t>
  </si>
  <si>
    <t>Feb 2020</t>
  </si>
  <si>
    <t>Mar 2020</t>
  </si>
  <si>
    <t>Ethnic</t>
  </si>
  <si>
    <t>PSYCHIATRY JPMC</t>
  </si>
  <si>
    <t>db</t>
  </si>
  <si>
    <t>Falcon Mall</t>
  </si>
  <si>
    <t xml:space="preserve">MHR Personal </t>
  </si>
  <si>
    <t xml:space="preserve">O/M Nue Multiplex </t>
  </si>
  <si>
    <t>O/M The Place</t>
  </si>
  <si>
    <t>Jameel Baig Residence</t>
  </si>
  <si>
    <t>Kumail Bhai</t>
  </si>
  <si>
    <t xml:space="preserve">Total </t>
  </si>
  <si>
    <t xml:space="preserve">Salary Sheet for the Month of </t>
  </si>
  <si>
    <t>June</t>
  </si>
  <si>
    <t>Total Days</t>
  </si>
  <si>
    <t>TOTAL</t>
  </si>
  <si>
    <t>Pioneer Engineering Services</t>
  </si>
  <si>
    <t>Leaves Details</t>
  </si>
  <si>
    <t>Advance Details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</si>
  <si>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</si>
  <si>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Months</t>
  </si>
  <si>
    <t>Present</t>
  </si>
  <si>
    <t>Absent</t>
  </si>
  <si>
    <t>Balance leaves</t>
  </si>
  <si>
    <t>Prev Advance</t>
  </si>
  <si>
    <t>Rem Advance</t>
  </si>
  <si>
    <t>Salary</t>
  </si>
  <si>
    <t>January</t>
  </si>
  <si>
    <t>Name</t>
  </si>
  <si>
    <t>Feb</t>
  </si>
  <si>
    <t>Joining Date</t>
  </si>
  <si>
    <t>Salary Details</t>
  </si>
  <si>
    <t>March</t>
  </si>
  <si>
    <t>April</t>
  </si>
  <si>
    <t>Prev adv</t>
  </si>
  <si>
    <t>Days Salary</t>
  </si>
  <si>
    <t>May</t>
  </si>
  <si>
    <t>Hours Overtime</t>
  </si>
  <si>
    <t>Total adv</t>
  </si>
  <si>
    <t xml:space="preserve">    Total Salary</t>
  </si>
  <si>
    <t>July</t>
  </si>
  <si>
    <t xml:space="preserve">          Advance deduct</t>
  </si>
  <si>
    <t>August</t>
  </si>
  <si>
    <t>Annual Leaves</t>
  </si>
  <si>
    <t>Remaining Advance</t>
  </si>
  <si>
    <t>Sept</t>
  </si>
  <si>
    <t>October</t>
  </si>
  <si>
    <t>Nov</t>
  </si>
  <si>
    <t>Dec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</si>
  <si>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</si>
  <si>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</si>
  <si>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Umer Farooq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</si>
  <si>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</si>
  <si>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Kamran AutoCAD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</si>
  <si>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</si>
  <si>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Ashraf Bhai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</si>
  <si>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</si>
  <si>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Jahangeer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</si>
  <si>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</si>
  <si>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Ahsan Khan</t>
  </si>
  <si>
    <t>10 Nos leaves remaining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</si>
  <si>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</si>
  <si>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Amir (JPMC)</t>
  </si>
  <si>
    <t>07th March 2017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</si>
  <si>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</si>
  <si>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Irfan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</si>
  <si>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</si>
  <si>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Abbas Ishaq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</si>
  <si>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</si>
  <si>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M.Imran Ali (Engr)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</si>
  <si>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</si>
  <si>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Amjad Ustad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</si>
  <si>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</si>
  <si>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Shahid Painter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</si>
  <si>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</si>
  <si>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Gul Sher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</si>
  <si>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</si>
  <si>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</si>
  <si>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M. Arif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</si>
  <si>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</si>
  <si>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Mukhtiar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</si>
  <si>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</si>
  <si>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Imran Feroz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</si>
  <si>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</si>
  <si>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Asif Hussain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</si>
  <si>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</si>
  <si>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M. Shafeeq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</si>
  <si>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</si>
  <si>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15000 deduct from sami salary</t>
  </si>
  <si>
    <t>M. Sami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</si>
  <si>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</si>
  <si>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Adil (FTC)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</si>
  <si>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</si>
  <si>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Sajjad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</si>
  <si>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</si>
  <si>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Zeeshan</t>
  </si>
  <si>
    <t>Remaining advance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</si>
  <si>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</si>
  <si>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A. Lateef Chacha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</si>
  <si>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</si>
  <si>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Lateef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</si>
  <si>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</si>
  <si>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Junaid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</si>
  <si>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</si>
  <si>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Hassan Khan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</si>
  <si>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</si>
  <si>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</si>
  <si>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Khizer Mujeeb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</si>
  <si>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</si>
  <si>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Suleman Dilawer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</si>
  <si>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</si>
  <si>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Mumtaz Ali Chakar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</si>
  <si>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</si>
  <si>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Ahsan Razak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</si>
  <si>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</si>
  <si>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Sufyan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</si>
  <si>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</si>
  <si>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</si>
  <si>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Abid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</si>
  <si>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</si>
  <si>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Waqas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</si>
  <si>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</si>
  <si>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Umair Ali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</si>
  <si>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</si>
  <si>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Nadeem Painter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</si>
  <si>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</si>
  <si>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Mohib uz Zaman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</si>
  <si>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</si>
  <si>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Khushnood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</si>
  <si>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</si>
  <si>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Fahad Fareed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</si>
  <si>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</si>
  <si>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 xml:space="preserve">Engr. Israr 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</si>
  <si>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</si>
  <si>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M. Raza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</si>
  <si>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</si>
  <si>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Noman Ali Sheikh Ansari</t>
  </si>
  <si>
    <t>ADV Waive off by bH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</si>
  <si>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</si>
  <si>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Talha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</si>
  <si>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</si>
  <si>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Adeel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</si>
  <si>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</si>
  <si>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Kamran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</si>
  <si>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</si>
  <si>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</si>
  <si>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Engr Ahsan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</si>
  <si>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</si>
  <si>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Noman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</si>
  <si>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</si>
  <si>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Saad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</si>
  <si>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</si>
  <si>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Momin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</si>
  <si>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</si>
  <si>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Talha Siddiqui</t>
  </si>
  <si>
    <r>
      <rPr>
        <u/>
        <sz val="14"/>
        <color theme="1"/>
        <rFont val="Calibri"/>
        <family val="2"/>
      </rP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</si>
  <si>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Ahmed Nawaz</t>
  </si>
  <si>
    <t>Salary Summary  for last 06 months</t>
  </si>
  <si>
    <t>April 2020</t>
  </si>
  <si>
    <t>May 2020</t>
  </si>
  <si>
    <t>June 2020</t>
  </si>
  <si>
    <t>July 2020</t>
  </si>
  <si>
    <t>August 2020</t>
  </si>
  <si>
    <t>Sept 2020</t>
  </si>
  <si>
    <t>Oct 2020</t>
  </si>
  <si>
    <t>Nov 2020</t>
  </si>
  <si>
    <t>Dec 2020</t>
  </si>
  <si>
    <t>Jan 21</t>
  </si>
  <si>
    <t>Feb 21</t>
  </si>
  <si>
    <t>March 21</t>
  </si>
  <si>
    <t>April 21</t>
  </si>
  <si>
    <t>May 21</t>
  </si>
  <si>
    <t>Difference from last month</t>
  </si>
  <si>
    <t>Director</t>
  </si>
  <si>
    <t>Nueplex RMR</t>
  </si>
  <si>
    <t>Nueplex The place</t>
  </si>
  <si>
    <t xml:space="preserve">EFU </t>
  </si>
  <si>
    <t>FTC</t>
  </si>
  <si>
    <t>Falcon</t>
  </si>
  <si>
    <t>The Forum / JS Shaheen</t>
  </si>
  <si>
    <t xml:space="preserve">The Forum </t>
  </si>
  <si>
    <t xml:space="preserve"> JS The Forum</t>
  </si>
  <si>
    <t xml:space="preserve"> Jameel baig  / Naveed Malik</t>
  </si>
  <si>
    <t>Staff Name</t>
  </si>
  <si>
    <t>Pre</t>
  </si>
  <si>
    <t>Increment</t>
  </si>
  <si>
    <t>Dec 22</t>
  </si>
  <si>
    <t>Mumtaz bhai</t>
  </si>
  <si>
    <t>Feb 2023</t>
  </si>
  <si>
    <t>Rehan</t>
  </si>
  <si>
    <t>Amir Engr</t>
  </si>
  <si>
    <t>Amir Plumber</t>
  </si>
  <si>
    <t xml:space="preserve">Raheel </t>
  </si>
  <si>
    <t>Gul sher</t>
  </si>
  <si>
    <t>Imran Engr</t>
  </si>
  <si>
    <t>Mar 23</t>
  </si>
  <si>
    <t>Khizer</t>
  </si>
  <si>
    <t>Hassan</t>
  </si>
  <si>
    <t>Junaid Saleem</t>
  </si>
  <si>
    <t>Shafeeq FTC</t>
  </si>
  <si>
    <t>Lateef duct</t>
  </si>
  <si>
    <t>Aug 23</t>
  </si>
  <si>
    <t>Sept 23</t>
  </si>
  <si>
    <t xml:space="preserve">Kamran </t>
  </si>
  <si>
    <t>OCt 23</t>
  </si>
  <si>
    <t>Mukhtar</t>
  </si>
  <si>
    <t>Hammad</t>
  </si>
  <si>
    <t>Noor Islam</t>
  </si>
  <si>
    <t>Abbas</t>
  </si>
  <si>
    <t>Sami</t>
  </si>
  <si>
    <t>Adil</t>
  </si>
  <si>
    <t>Mohib</t>
  </si>
  <si>
    <t>Ibtihaj</t>
  </si>
  <si>
    <t>Affan</t>
  </si>
  <si>
    <t>Nadeem painter</t>
  </si>
  <si>
    <t>M. Imran Feroz</t>
  </si>
  <si>
    <t>Waqas at NASTP</t>
  </si>
  <si>
    <t>Engr Imran JPMC</t>
  </si>
  <si>
    <t>Ahsan office</t>
  </si>
  <si>
    <t>Shahzaib</t>
  </si>
  <si>
    <t>Fahad Freed</t>
  </si>
  <si>
    <t>Engr Amir</t>
  </si>
  <si>
    <t>chacha Lateef</t>
  </si>
  <si>
    <t>Kamran auto</t>
  </si>
  <si>
    <t>Laraib</t>
  </si>
  <si>
    <t>Moiz</t>
  </si>
  <si>
    <t>Umair</t>
  </si>
  <si>
    <t>Amjad</t>
  </si>
  <si>
    <t>Asad</t>
  </si>
  <si>
    <t>Imran Khan</t>
  </si>
  <si>
    <t>Shahid</t>
  </si>
  <si>
    <t>Qamar</t>
  </si>
  <si>
    <t>Zubair</t>
  </si>
  <si>
    <t>Abuzar Ghaffari</t>
  </si>
  <si>
    <t>Sufiyan</t>
  </si>
  <si>
    <t>Maasi</t>
  </si>
  <si>
    <t>Muhammad Shehzad (42201-9791630-5)</t>
  </si>
  <si>
    <t>Ashraf bhai</t>
  </si>
  <si>
    <r>
      <t xml:space="preserve">                           </t>
    </r>
    <r>
      <rPr>
        <u/>
        <sz val="14"/>
        <color theme="1"/>
        <rFont val="Calibri"/>
        <family val="2"/>
      </rPr>
      <t xml:space="preserve">Salary for the month of </t>
    </r>
  </si>
  <si>
    <t>Salman Ali Bhatti</t>
  </si>
  <si>
    <t>Ashraf</t>
  </si>
  <si>
    <t>Ahsen</t>
  </si>
  <si>
    <t>Salman</t>
  </si>
  <si>
    <t>In</t>
  </si>
  <si>
    <t>Out</t>
  </si>
  <si>
    <t>Sunday</t>
  </si>
  <si>
    <t>Total Working Days</t>
  </si>
  <si>
    <t>Present Days</t>
  </si>
  <si>
    <t>Date</t>
  </si>
  <si>
    <t>Work-Hrs</t>
  </si>
  <si>
    <t>Total-Hrs</t>
  </si>
  <si>
    <t>Working Hrs</t>
  </si>
  <si>
    <t>Working Hrs Status</t>
  </si>
  <si>
    <t>Total Hrs</t>
  </si>
  <si>
    <t>OFFICE STAFF TIMING SHEET FOR August-24</t>
  </si>
  <si>
    <t>Irfan AC</t>
  </si>
  <si>
    <t>Noman Ahmed</t>
  </si>
  <si>
    <t>Salary Increment Summary</t>
  </si>
  <si>
    <t>Punjab Salaries</t>
  </si>
  <si>
    <t>S.No</t>
  </si>
  <si>
    <t>September</t>
  </si>
  <si>
    <t>12TH Rabiul Awal</t>
  </si>
  <si>
    <t>aq</t>
  </si>
  <si>
    <t xml:space="preserve"> </t>
  </si>
  <si>
    <t>Nizamudin</t>
  </si>
  <si>
    <t>Taha Sohail</t>
  </si>
  <si>
    <t>Cash Received</t>
  </si>
  <si>
    <t>Jawed</t>
  </si>
  <si>
    <t>Mateen</t>
  </si>
  <si>
    <t>Syed Tauqeer Hussain</t>
  </si>
  <si>
    <t>Sami FTC</t>
  </si>
  <si>
    <t>Adil FTC</t>
  </si>
  <si>
    <t>Adeel FTC</t>
  </si>
  <si>
    <t>Sajjad FTC</t>
  </si>
  <si>
    <t>Zeeshan FTC</t>
  </si>
  <si>
    <t>Shehzad</t>
  </si>
  <si>
    <t>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</si>
</sst>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h]:mm:ss;@"/>
    <numFmt numFmtId="167" formatCode="h:mm;@"/>
  </numFmts>
  <fonts count="77" x14ac:knownFonts="1">
    <font>
      <sz val="10"/>
      <color rgb="FF000000"/>
      <name val="Arial"/>
      <scheme val="minor"/>
    </font>
    <font>
      <b/>
      <sz val="24"/>
      <color theme="1"/>
      <name val="Arial"/>
      <family val="2"/>
    </font>
    <font>
      <sz val="10"/>
      <name val="Arial"/>
      <family val="2"/>
    </font>
    <font>
      <sz val="24"/>
      <color theme="1"/>
      <name val="Arial"/>
      <family val="2"/>
    </font>
    <font>
      <b/>
      <i/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9"/>
      <color theme="1"/>
      <name val="Book Antiqua"/>
      <family val="1"/>
    </font>
    <font>
      <b/>
      <sz val="8"/>
      <color theme="1"/>
      <name val="Book Antiqua"/>
      <family val="1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6"/>
      <color theme="1"/>
      <name val="Arial"/>
      <family val="2"/>
    </font>
    <font>
      <b/>
      <sz val="20"/>
      <color theme="1"/>
      <name val="Calibri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  <font>
      <b/>
      <sz val="22"/>
      <color theme="1"/>
      <name val="Calibri"/>
      <family val="2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7"/>
      <color theme="1"/>
      <name val="Calibri"/>
      <family val="2"/>
    </font>
    <font>
      <sz val="14"/>
      <color theme="1"/>
      <name val="Algerian"/>
      <family val="5"/>
    </font>
    <font>
      <b/>
      <sz val="13"/>
      <color theme="1"/>
      <name val="Calibri"/>
      <family val="2"/>
    </font>
    <font>
      <u/>
      <sz val="13"/>
      <color theme="1"/>
      <name val="Algerian"/>
      <family val="5"/>
    </font>
    <font>
      <u/>
      <sz val="14"/>
      <color theme="1"/>
      <name val="Calibri"/>
      <family val="2"/>
    </font>
    <font>
      <u/>
      <sz val="14"/>
      <color theme="1"/>
      <name val="Calibri"/>
      <family val="2"/>
    </font>
    <font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u/>
      <sz val="13"/>
      <color theme="1"/>
      <name val="Algerian"/>
      <family val="5"/>
    </font>
    <font>
      <sz val="14"/>
      <color rgb="FFFF0000"/>
      <name val="Calibri"/>
      <family val="2"/>
    </font>
    <font>
      <b/>
      <sz val="13"/>
      <color rgb="FFFF0000"/>
      <name val="Calibri"/>
      <family val="2"/>
    </font>
    <font>
      <sz val="9"/>
      <color theme="1"/>
      <name val="Calibri"/>
      <family val="2"/>
    </font>
    <font>
      <u/>
      <sz val="14"/>
      <color theme="1"/>
      <name val="Algerian"/>
      <family val="5"/>
    </font>
    <font>
      <u/>
      <sz val="14"/>
      <color theme="1"/>
      <name val="Algerian"/>
      <family val="5"/>
    </font>
    <font>
      <u/>
      <sz val="14"/>
      <color theme="1"/>
      <name val="Algerian"/>
      <family val="5"/>
    </font>
    <font>
      <u/>
      <sz val="14"/>
      <color theme="1"/>
      <name val="Algerian"/>
      <family val="5"/>
    </font>
    <font>
      <u/>
      <sz val="14"/>
      <color theme="1"/>
      <name val="Algerian"/>
      <family val="5"/>
    </font>
    <font>
      <u/>
      <sz val="14"/>
      <color theme="1"/>
      <name val="Algerian"/>
      <family val="5"/>
    </font>
    <font>
      <b/>
      <u/>
      <sz val="14"/>
      <color theme="1"/>
      <name val="Calibri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Calibri"/>
      <family val="2"/>
    </font>
    <font>
      <b/>
      <sz val="13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22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rgb="FF00000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theme="1"/>
        <bgColor theme="1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C6D9F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0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rgb="FFFBD4B4"/>
      </patternFill>
    </fill>
    <fill>
      <patternFill patternType="solid">
        <fgColor theme="9" tint="0.59999389629810485"/>
        <bgColor rgb="FFFBD4B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164" fontId="72" fillId="0" borderId="0" applyFont="0" applyFill="0" applyBorder="0" applyAlignment="0" applyProtection="0"/>
  </cellStyleXfs>
  <cellXfs count="620">
    <xf numFmtId="0" fontId="0" fillId="0" borderId="0" xfId="0"/>
    <xf numFmtId="0" fontId="1" fillId="2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3" fillId="0" borderId="0" xfId="0" applyFont="1"/>
    <xf numFmtId="165" fontId="3" fillId="0" borderId="0" xfId="0" applyNumberFormat="1" applyFont="1"/>
    <xf numFmtId="0" fontId="1" fillId="2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165" fontId="6" fillId="4" borderId="14" xfId="0" applyNumberFormat="1" applyFont="1" applyFill="1" applyBorder="1" applyAlignment="1">
      <alignment horizontal="center" vertical="center" wrapText="1"/>
    </xf>
    <xf numFmtId="165" fontId="7" fillId="4" borderId="14" xfId="0" applyNumberFormat="1" applyFont="1" applyFill="1" applyBorder="1" applyAlignment="1">
      <alignment horizontal="center" vertical="center" wrapText="1"/>
    </xf>
    <xf numFmtId="165" fontId="6" fillId="4" borderId="14" xfId="0" applyNumberFormat="1" applyFont="1" applyFill="1" applyBorder="1" applyAlignment="1">
      <alignment horizontal="center" vertical="center"/>
    </xf>
    <xf numFmtId="165" fontId="6" fillId="4" borderId="7" xfId="0" applyNumberFormat="1" applyFont="1" applyFill="1" applyBorder="1" applyAlignment="1">
      <alignment horizontal="center" vertical="center" wrapText="1"/>
    </xf>
    <xf numFmtId="165" fontId="8" fillId="0" borderId="0" xfId="0" applyNumberFormat="1" applyFont="1"/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165" fontId="10" fillId="5" borderId="14" xfId="0" applyNumberFormat="1" applyFont="1" applyFill="1" applyBorder="1" applyAlignment="1">
      <alignment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0" borderId="14" xfId="0" applyNumberFormat="1" applyFont="1" applyBorder="1" applyAlignment="1">
      <alignment vertical="center"/>
    </xf>
    <xf numFmtId="165" fontId="10" fillId="0" borderId="14" xfId="0" applyNumberFormat="1" applyFont="1" applyBorder="1" applyAlignment="1">
      <alignment vertical="center"/>
    </xf>
    <xf numFmtId="165" fontId="11" fillId="6" borderId="14" xfId="0" applyNumberFormat="1" applyFont="1" applyFill="1" applyBorder="1" applyAlignment="1">
      <alignment vertical="center"/>
    </xf>
    <xf numFmtId="165" fontId="11" fillId="0" borderId="0" xfId="0" applyNumberFormat="1" applyFont="1"/>
    <xf numFmtId="0" fontId="11" fillId="0" borderId="0" xfId="0" applyFont="1"/>
    <xf numFmtId="0" fontId="9" fillId="0" borderId="14" xfId="0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vertical="center"/>
    </xf>
    <xf numFmtId="0" fontId="10" fillId="7" borderId="7" xfId="0" applyFont="1" applyFill="1" applyBorder="1" applyAlignment="1">
      <alignment horizontal="center"/>
    </xf>
    <xf numFmtId="0" fontId="10" fillId="0" borderId="18" xfId="0" applyFont="1" applyBorder="1" applyAlignment="1">
      <alignment horizontal="center" vertical="center" textRotation="90"/>
    </xf>
    <xf numFmtId="165" fontId="10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textRotation="90"/>
    </xf>
    <xf numFmtId="165" fontId="10" fillId="0" borderId="19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textRotation="90"/>
    </xf>
    <xf numFmtId="165" fontId="10" fillId="0" borderId="20" xfId="0" applyNumberFormat="1" applyFont="1" applyBorder="1" applyAlignment="1">
      <alignment horizontal="center" vertical="center"/>
    </xf>
    <xf numFmtId="164" fontId="11" fillId="0" borderId="0" xfId="0" applyNumberFormat="1" applyFont="1"/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165" fontId="14" fillId="0" borderId="14" xfId="0" applyNumberFormat="1" applyFont="1" applyBorder="1" applyAlignment="1">
      <alignment vertical="center"/>
    </xf>
    <xf numFmtId="165" fontId="15" fillId="8" borderId="14" xfId="0" applyNumberFormat="1" applyFont="1" applyFill="1" applyBorder="1" applyAlignment="1">
      <alignment vertical="center"/>
    </xf>
    <xf numFmtId="165" fontId="15" fillId="8" borderId="7" xfId="0" applyNumberFormat="1" applyFont="1" applyFill="1" applyBorder="1"/>
    <xf numFmtId="0" fontId="15" fillId="0" borderId="0" xfId="0" applyFont="1"/>
    <xf numFmtId="165" fontId="15" fillId="0" borderId="0" xfId="0" applyNumberFormat="1" applyFont="1"/>
    <xf numFmtId="0" fontId="13" fillId="0" borderId="0" xfId="0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6" fillId="7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65" fontId="17" fillId="0" borderId="0" xfId="0" applyNumberFormat="1" applyFont="1" applyAlignment="1">
      <alignment vertical="center"/>
    </xf>
    <xf numFmtId="0" fontId="10" fillId="0" borderId="19" xfId="0" applyFont="1" applyBorder="1" applyAlignment="1">
      <alignment vertical="center" textRotation="90"/>
    </xf>
    <xf numFmtId="165" fontId="10" fillId="0" borderId="19" xfId="0" applyNumberFormat="1" applyFont="1" applyBorder="1" applyAlignment="1">
      <alignment vertical="center"/>
    </xf>
    <xf numFmtId="165" fontId="9" fillId="0" borderId="20" xfId="0" applyNumberFormat="1" applyFont="1" applyBorder="1" applyAlignment="1">
      <alignment horizontal="center" vertical="center"/>
    </xf>
    <xf numFmtId="165" fontId="11" fillId="0" borderId="20" xfId="0" applyNumberFormat="1" applyFont="1" applyBorder="1" applyAlignment="1">
      <alignment vertical="center"/>
    </xf>
    <xf numFmtId="165" fontId="9" fillId="0" borderId="20" xfId="0" applyNumberFormat="1" applyFont="1" applyBorder="1" applyAlignment="1">
      <alignment vertical="center"/>
    </xf>
    <xf numFmtId="165" fontId="10" fillId="0" borderId="20" xfId="0" applyNumberFormat="1" applyFont="1" applyBorder="1" applyAlignment="1">
      <alignment vertical="center"/>
    </xf>
    <xf numFmtId="0" fontId="10" fillId="0" borderId="14" xfId="0" applyFont="1" applyBorder="1" applyAlignment="1">
      <alignment vertical="center" textRotation="90"/>
    </xf>
    <xf numFmtId="165" fontId="11" fillId="0" borderId="14" xfId="0" applyNumberFormat="1" applyFont="1" applyBorder="1" applyAlignment="1">
      <alignment horizontal="center" vertical="center"/>
    </xf>
    <xf numFmtId="165" fontId="13" fillId="0" borderId="14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vertical="center" textRotation="90"/>
    </xf>
    <xf numFmtId="165" fontId="22" fillId="0" borderId="14" xfId="0" applyNumberFormat="1" applyFont="1" applyBorder="1" applyAlignment="1">
      <alignment vertical="center"/>
    </xf>
    <xf numFmtId="165" fontId="20" fillId="5" borderId="14" xfId="0" applyNumberFormat="1" applyFont="1" applyFill="1" applyBorder="1" applyAlignment="1">
      <alignment vertical="center"/>
    </xf>
    <xf numFmtId="165" fontId="20" fillId="5" borderId="14" xfId="0" applyNumberFormat="1" applyFont="1" applyFill="1" applyBorder="1" applyAlignment="1">
      <alignment horizontal="center" vertical="center"/>
    </xf>
    <xf numFmtId="165" fontId="20" fillId="0" borderId="14" xfId="0" applyNumberFormat="1" applyFont="1" applyBorder="1" applyAlignment="1">
      <alignment vertical="center"/>
    </xf>
    <xf numFmtId="165" fontId="23" fillId="0" borderId="14" xfId="0" applyNumberFormat="1" applyFont="1" applyBorder="1" applyAlignment="1">
      <alignment vertical="center"/>
    </xf>
    <xf numFmtId="165" fontId="21" fillId="0" borderId="14" xfId="0" applyNumberFormat="1" applyFont="1" applyBorder="1" applyAlignment="1">
      <alignment vertical="center"/>
    </xf>
    <xf numFmtId="165" fontId="23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0" fillId="5" borderId="14" xfId="0" applyFont="1" applyFill="1" applyBorder="1" applyAlignment="1">
      <alignment vertical="center" textRotation="90"/>
    </xf>
    <xf numFmtId="0" fontId="10" fillId="5" borderId="22" xfId="0" applyFont="1" applyFill="1" applyBorder="1" applyAlignment="1">
      <alignment vertical="center" textRotation="90"/>
    </xf>
    <xf numFmtId="165" fontId="10" fillId="5" borderId="22" xfId="0" applyNumberFormat="1" applyFont="1" applyFill="1" applyBorder="1" applyAlignment="1">
      <alignment vertical="center"/>
    </xf>
    <xf numFmtId="165" fontId="24" fillId="0" borderId="14" xfId="0" applyNumberFormat="1" applyFont="1" applyBorder="1" applyAlignment="1">
      <alignment horizontal="center" vertical="center"/>
    </xf>
    <xf numFmtId="165" fontId="25" fillId="0" borderId="14" xfId="0" applyNumberFormat="1" applyFont="1" applyBorder="1" applyAlignment="1">
      <alignment vertical="center"/>
    </xf>
    <xf numFmtId="165" fontId="16" fillId="7" borderId="7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vertical="center"/>
    </xf>
    <xf numFmtId="0" fontId="21" fillId="5" borderId="14" xfId="0" applyFont="1" applyFill="1" applyBorder="1" applyAlignment="1">
      <alignment vertical="center" textRotation="90"/>
    </xf>
    <xf numFmtId="165" fontId="21" fillId="5" borderId="14" xfId="0" applyNumberFormat="1" applyFont="1" applyFill="1" applyBorder="1" applyAlignment="1">
      <alignment vertical="center"/>
    </xf>
    <xf numFmtId="165" fontId="23" fillId="0" borderId="14" xfId="0" applyNumberFormat="1" applyFont="1" applyBorder="1"/>
    <xf numFmtId="165" fontId="23" fillId="0" borderId="14" xfId="0" applyNumberFormat="1" applyFont="1" applyBorder="1" applyAlignment="1">
      <alignment horizontal="center"/>
    </xf>
    <xf numFmtId="165" fontId="20" fillId="5" borderId="14" xfId="0" applyNumberFormat="1" applyFont="1" applyFill="1" applyBorder="1" applyAlignment="1">
      <alignment horizontal="center"/>
    </xf>
    <xf numFmtId="165" fontId="21" fillId="0" borderId="14" xfId="0" applyNumberFormat="1" applyFont="1" applyBorder="1"/>
    <xf numFmtId="165" fontId="11" fillId="0" borderId="14" xfId="0" applyNumberFormat="1" applyFont="1" applyBorder="1"/>
    <xf numFmtId="165" fontId="23" fillId="0" borderId="0" xfId="0" applyNumberFormat="1" applyFont="1"/>
    <xf numFmtId="0" fontId="26" fillId="7" borderId="7" xfId="0" applyFont="1" applyFill="1" applyBorder="1" applyAlignment="1">
      <alignment horizontal="center" vertical="center"/>
    </xf>
    <xf numFmtId="165" fontId="27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 textRotation="90"/>
    </xf>
    <xf numFmtId="165" fontId="10" fillId="5" borderId="22" xfId="0" applyNumberFormat="1" applyFont="1" applyFill="1" applyBorder="1" applyAlignment="1">
      <alignment horizontal="center" vertical="center"/>
    </xf>
    <xf numFmtId="165" fontId="9" fillId="0" borderId="14" xfId="0" applyNumberFormat="1" applyFont="1" applyBorder="1" applyAlignment="1">
      <alignment horizontal="right" vertical="center"/>
    </xf>
    <xf numFmtId="0" fontId="21" fillId="5" borderId="22" xfId="0" applyFont="1" applyFill="1" applyBorder="1" applyAlignment="1">
      <alignment vertical="center" textRotation="90"/>
    </xf>
    <xf numFmtId="165" fontId="21" fillId="5" borderId="22" xfId="0" applyNumberFormat="1" applyFont="1" applyFill="1" applyBorder="1" applyAlignment="1">
      <alignment vertical="center"/>
    </xf>
    <xf numFmtId="165" fontId="20" fillId="5" borderId="21" xfId="0" applyNumberFormat="1" applyFont="1" applyFill="1" applyBorder="1" applyAlignment="1">
      <alignment horizontal="center"/>
    </xf>
    <xf numFmtId="165" fontId="23" fillId="0" borderId="20" xfId="0" applyNumberFormat="1" applyFont="1" applyBorder="1"/>
    <xf numFmtId="165" fontId="28" fillId="0" borderId="20" xfId="0" applyNumberFormat="1" applyFont="1" applyBorder="1"/>
    <xf numFmtId="165" fontId="12" fillId="7" borderId="7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165" fontId="25" fillId="8" borderId="14" xfId="0" applyNumberFormat="1" applyFont="1" applyFill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165" fontId="15" fillId="0" borderId="14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165" fontId="28" fillId="7" borderId="14" xfId="0" applyNumberFormat="1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165" fontId="10" fillId="0" borderId="14" xfId="0" applyNumberFormat="1" applyFont="1" applyBorder="1" applyAlignment="1">
      <alignment horizontal="right" vertical="center"/>
    </xf>
    <xf numFmtId="165" fontId="23" fillId="7" borderId="7" xfId="0" applyNumberFormat="1" applyFont="1" applyFill="1" applyBorder="1"/>
    <xf numFmtId="165" fontId="30" fillId="7" borderId="14" xfId="0" applyNumberFormat="1" applyFont="1" applyFill="1" applyBorder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1" fillId="0" borderId="20" xfId="0" applyFont="1" applyBorder="1" applyAlignment="1">
      <alignment horizontal="right"/>
    </xf>
    <xf numFmtId="165" fontId="21" fillId="0" borderId="20" xfId="0" applyNumberFormat="1" applyFont="1" applyBorder="1" applyAlignment="1">
      <alignment horizontal="right"/>
    </xf>
    <xf numFmtId="165" fontId="30" fillId="7" borderId="21" xfId="0" applyNumberFormat="1" applyFont="1" applyFill="1" applyBorder="1"/>
    <xf numFmtId="0" fontId="20" fillId="0" borderId="14" xfId="0" applyFont="1" applyBorder="1" applyAlignment="1">
      <alignment horizontal="center" vertical="center" wrapText="1"/>
    </xf>
    <xf numFmtId="0" fontId="23" fillId="0" borderId="14" xfId="0" applyFont="1" applyBorder="1"/>
    <xf numFmtId="165" fontId="20" fillId="0" borderId="14" xfId="0" applyNumberFormat="1" applyFont="1" applyBorder="1"/>
    <xf numFmtId="165" fontId="25" fillId="6" borderId="14" xfId="0" applyNumberFormat="1" applyFont="1" applyFill="1" applyBorder="1"/>
    <xf numFmtId="0" fontId="8" fillId="0" borderId="14" xfId="0" applyFont="1" applyBorder="1" applyAlignment="1">
      <alignment horizontal="center"/>
    </xf>
    <xf numFmtId="0" fontId="31" fillId="0" borderId="14" xfId="0" applyFont="1" applyBorder="1"/>
    <xf numFmtId="165" fontId="8" fillId="0" borderId="14" xfId="0" applyNumberFormat="1" applyFont="1" applyBorder="1"/>
    <xf numFmtId="165" fontId="8" fillId="0" borderId="14" xfId="0" applyNumberFormat="1" applyFont="1" applyBorder="1" applyAlignment="1">
      <alignment horizontal="center"/>
    </xf>
    <xf numFmtId="165" fontId="31" fillId="0" borderId="14" xfId="0" applyNumberFormat="1" applyFont="1" applyBorder="1"/>
    <xf numFmtId="0" fontId="8" fillId="0" borderId="14" xfId="0" applyFont="1" applyBorder="1"/>
    <xf numFmtId="0" fontId="8" fillId="0" borderId="0" xfId="0" applyFont="1"/>
    <xf numFmtId="0" fontId="21" fillId="0" borderId="14" xfId="0" applyFont="1" applyBorder="1"/>
    <xf numFmtId="0" fontId="21" fillId="0" borderId="14" xfId="0" applyFont="1" applyBorder="1" applyAlignment="1">
      <alignment vertical="center"/>
    </xf>
    <xf numFmtId="165" fontId="20" fillId="0" borderId="14" xfId="0" applyNumberFormat="1" applyFont="1" applyBorder="1" applyAlignment="1">
      <alignment horizontal="center"/>
    </xf>
    <xf numFmtId="0" fontId="22" fillId="5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32" fillId="0" borderId="27" xfId="0" applyNumberFormat="1" applyFont="1" applyBorder="1"/>
    <xf numFmtId="165" fontId="32" fillId="13" borderId="28" xfId="0" quotePrefix="1" applyNumberFormat="1" applyFont="1" applyFill="1" applyBorder="1"/>
    <xf numFmtId="165" fontId="32" fillId="13" borderId="28" xfId="0" applyNumberFormat="1" applyFont="1" applyFill="1" applyBorder="1"/>
    <xf numFmtId="165" fontId="31" fillId="0" borderId="29" xfId="0" applyNumberFormat="1" applyFont="1" applyBorder="1"/>
    <xf numFmtId="165" fontId="31" fillId="14" borderId="30" xfId="0" applyNumberFormat="1" applyFont="1" applyFill="1" applyBorder="1"/>
    <xf numFmtId="165" fontId="31" fillId="0" borderId="29" xfId="0" applyNumberFormat="1" applyFont="1" applyBorder="1" applyAlignment="1">
      <alignment wrapText="1"/>
    </xf>
    <xf numFmtId="0" fontId="24" fillId="0" borderId="14" xfId="0" applyFont="1" applyBorder="1"/>
    <xf numFmtId="165" fontId="31" fillId="0" borderId="31" xfId="0" applyNumberFormat="1" applyFont="1" applyBorder="1"/>
    <xf numFmtId="165" fontId="28" fillId="14" borderId="31" xfId="0" applyNumberFormat="1" applyFont="1" applyFill="1" applyBorder="1"/>
    <xf numFmtId="165" fontId="8" fillId="0" borderId="0" xfId="0" applyNumberFormat="1" applyFont="1" applyAlignment="1">
      <alignment horizontal="center"/>
    </xf>
    <xf numFmtId="0" fontId="31" fillId="0" borderId="0" xfId="0" applyFont="1"/>
    <xf numFmtId="165" fontId="31" fillId="0" borderId="0" xfId="0" applyNumberFormat="1" applyFont="1"/>
    <xf numFmtId="0" fontId="33" fillId="0" borderId="0" xfId="0" applyFont="1"/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20" fillId="0" borderId="0" xfId="0" applyFont="1"/>
    <xf numFmtId="165" fontId="14" fillId="0" borderId="0" xfId="0" applyNumberFormat="1" applyFont="1" applyAlignment="1">
      <alignment vertical="center"/>
    </xf>
    <xf numFmtId="165" fontId="20" fillId="0" borderId="0" xfId="0" applyNumberFormat="1" applyFont="1"/>
    <xf numFmtId="17" fontId="33" fillId="0" borderId="0" xfId="0" applyNumberFormat="1" applyFont="1"/>
    <xf numFmtId="0" fontId="20" fillId="0" borderId="0" xfId="0" applyFont="1" applyAlignment="1">
      <alignment vertical="center"/>
    </xf>
    <xf numFmtId="165" fontId="20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165" fontId="34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4" fillId="0" borderId="35" xfId="0" applyFont="1" applyBorder="1" applyAlignment="1">
      <alignment horizontal="center" vertical="center"/>
    </xf>
    <xf numFmtId="0" fontId="34" fillId="0" borderId="39" xfId="0" applyFont="1" applyBorder="1" applyAlignment="1">
      <alignment vertical="center"/>
    </xf>
    <xf numFmtId="0" fontId="38" fillId="0" borderId="40" xfId="0" applyFont="1" applyBorder="1" applyAlignment="1">
      <alignment horizontal="center" vertical="center"/>
    </xf>
    <xf numFmtId="0" fontId="33" fillId="0" borderId="41" xfId="0" applyFont="1" applyBorder="1" applyAlignment="1">
      <alignment vertical="center"/>
    </xf>
    <xf numFmtId="0" fontId="40" fillId="0" borderId="0" xfId="0" applyFont="1" applyAlignment="1">
      <alignment vertical="center"/>
    </xf>
    <xf numFmtId="14" fontId="33" fillId="0" borderId="0" xfId="0" applyNumberFormat="1" applyFont="1" applyAlignment="1">
      <alignment vertical="center"/>
    </xf>
    <xf numFmtId="14" fontId="33" fillId="0" borderId="42" xfId="0" applyNumberFormat="1" applyFont="1" applyBorder="1" applyAlignment="1">
      <alignment vertical="center"/>
    </xf>
    <xf numFmtId="14" fontId="35" fillId="0" borderId="0" xfId="0" applyNumberFormat="1" applyFont="1" applyAlignment="1">
      <alignment vertical="center"/>
    </xf>
    <xf numFmtId="14" fontId="34" fillId="0" borderId="41" xfId="0" applyNumberFormat="1" applyFont="1" applyBorder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7" fillId="0" borderId="42" xfId="0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3" fillId="0" borderId="42" xfId="0" applyFont="1" applyBorder="1" applyAlignment="1">
      <alignment vertical="center"/>
    </xf>
    <xf numFmtId="0" fontId="34" fillId="0" borderId="41" xfId="0" applyFont="1" applyBorder="1" applyAlignment="1">
      <alignment vertical="center"/>
    </xf>
    <xf numFmtId="0" fontId="34" fillId="0" borderId="14" xfId="0" applyFont="1" applyBorder="1" applyAlignment="1">
      <alignment vertical="center"/>
    </xf>
    <xf numFmtId="0" fontId="37" fillId="0" borderId="0" xfId="0" applyFont="1" applyAlignment="1">
      <alignment vertical="center"/>
    </xf>
    <xf numFmtId="165" fontId="37" fillId="0" borderId="14" xfId="0" applyNumberFormat="1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165" fontId="14" fillId="0" borderId="42" xfId="0" applyNumberFormat="1" applyFont="1" applyBorder="1" applyAlignment="1">
      <alignment vertical="center"/>
    </xf>
    <xf numFmtId="0" fontId="34" fillId="0" borderId="41" xfId="0" applyFont="1" applyBorder="1" applyAlignment="1">
      <alignment horizontal="center" vertical="center"/>
    </xf>
    <xf numFmtId="165" fontId="37" fillId="0" borderId="14" xfId="0" applyNumberFormat="1" applyFont="1" applyBorder="1" applyAlignment="1">
      <alignment horizontal="center" vertical="center"/>
    </xf>
    <xf numFmtId="165" fontId="37" fillId="0" borderId="42" xfId="0" applyNumberFormat="1" applyFont="1" applyBorder="1" applyAlignment="1">
      <alignment vertical="center"/>
    </xf>
    <xf numFmtId="0" fontId="33" fillId="0" borderId="0" xfId="0" applyFont="1" applyAlignment="1">
      <alignment vertical="center" wrapText="1"/>
    </xf>
    <xf numFmtId="0" fontId="44" fillId="0" borderId="0" xfId="0" applyFont="1" applyAlignment="1">
      <alignment horizontal="left" vertical="center"/>
    </xf>
    <xf numFmtId="0" fontId="33" fillId="0" borderId="42" xfId="0" applyFont="1" applyBorder="1" applyAlignment="1">
      <alignment vertical="center"/>
    </xf>
    <xf numFmtId="165" fontId="33" fillId="0" borderId="0" xfId="0" applyNumberFormat="1" applyFont="1" applyAlignment="1">
      <alignment vertical="center"/>
    </xf>
    <xf numFmtId="0" fontId="14" fillId="0" borderId="42" xfId="0" applyFont="1" applyBorder="1" applyAlignment="1">
      <alignment horizontal="center" vertical="center"/>
    </xf>
    <xf numFmtId="0" fontId="33" fillId="0" borderId="14" xfId="0" applyFont="1" applyBorder="1" applyAlignment="1">
      <alignment horizontal="right" vertical="center"/>
    </xf>
    <xf numFmtId="165" fontId="33" fillId="0" borderId="14" xfId="0" applyNumberFormat="1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3" fillId="0" borderId="17" xfId="0" applyFont="1" applyBorder="1" applyAlignment="1">
      <alignment vertical="center"/>
    </xf>
    <xf numFmtId="165" fontId="33" fillId="0" borderId="14" xfId="0" applyNumberFormat="1" applyFont="1" applyBorder="1" applyAlignment="1">
      <alignment horizontal="right" vertical="center"/>
    </xf>
    <xf numFmtId="165" fontId="33" fillId="0" borderId="42" xfId="0" applyNumberFormat="1" applyFont="1" applyBorder="1" applyAlignment="1">
      <alignment horizontal="right" vertical="center"/>
    </xf>
    <xf numFmtId="0" fontId="33" fillId="0" borderId="14" xfId="0" applyFont="1" applyBorder="1" applyAlignment="1">
      <alignment vertical="center"/>
    </xf>
    <xf numFmtId="165" fontId="33" fillId="0" borderId="42" xfId="0" applyNumberFormat="1" applyFont="1" applyBorder="1" applyAlignment="1">
      <alignment vertical="center"/>
    </xf>
    <xf numFmtId="0" fontId="33" fillId="0" borderId="43" xfId="0" applyFont="1" applyBorder="1" applyAlignment="1">
      <alignment vertical="center"/>
    </xf>
    <xf numFmtId="0" fontId="33" fillId="0" borderId="44" xfId="0" applyFont="1" applyBorder="1"/>
    <xf numFmtId="0" fontId="33" fillId="0" borderId="45" xfId="0" applyFont="1" applyBorder="1" applyAlignment="1">
      <alignment vertical="center"/>
    </xf>
    <xf numFmtId="0" fontId="33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45" fillId="0" borderId="42" xfId="0" applyFont="1" applyBorder="1" applyAlignment="1">
      <alignment horizontal="center" vertical="center"/>
    </xf>
    <xf numFmtId="0" fontId="33" fillId="0" borderId="14" xfId="0" applyFont="1" applyBorder="1" applyAlignment="1">
      <alignment horizontal="right" vertical="center" wrapText="1"/>
    </xf>
    <xf numFmtId="0" fontId="34" fillId="15" borderId="14" xfId="0" applyFont="1" applyFill="1" applyBorder="1" applyAlignment="1">
      <alignment vertical="center"/>
    </xf>
    <xf numFmtId="165" fontId="35" fillId="0" borderId="0" xfId="0" applyNumberFormat="1" applyFont="1" applyAlignment="1">
      <alignment vertical="center"/>
    </xf>
    <xf numFmtId="165" fontId="33" fillId="0" borderId="15" xfId="0" applyNumberFormat="1" applyFont="1" applyBorder="1" applyAlignment="1">
      <alignment vertical="center"/>
    </xf>
    <xf numFmtId="0" fontId="46" fillId="0" borderId="0" xfId="0" applyFont="1"/>
    <xf numFmtId="0" fontId="34" fillId="16" borderId="14" xfId="0" applyFont="1" applyFill="1" applyBorder="1" applyAlignment="1">
      <alignment vertical="center"/>
    </xf>
    <xf numFmtId="15" fontId="48" fillId="0" borderId="0" xfId="0" applyNumberFormat="1" applyFont="1" applyAlignment="1">
      <alignment horizontal="left" vertical="center"/>
    </xf>
    <xf numFmtId="1" fontId="33" fillId="0" borderId="15" xfId="0" applyNumberFormat="1" applyFont="1" applyBorder="1" applyAlignment="1">
      <alignment vertical="center"/>
    </xf>
    <xf numFmtId="0" fontId="33" fillId="0" borderId="14" xfId="0" applyFont="1" applyBorder="1" applyAlignment="1">
      <alignment horizontal="left" vertical="center"/>
    </xf>
    <xf numFmtId="0" fontId="33" fillId="0" borderId="44" xfId="0" applyFont="1" applyBorder="1" applyAlignment="1">
      <alignment vertical="center"/>
    </xf>
    <xf numFmtId="0" fontId="34" fillId="0" borderId="43" xfId="0" applyFont="1" applyBorder="1" applyAlignment="1">
      <alignment vertical="center"/>
    </xf>
    <xf numFmtId="0" fontId="34" fillId="0" borderId="44" xfId="0" applyFont="1" applyBorder="1" applyAlignment="1">
      <alignment vertical="center"/>
    </xf>
    <xf numFmtId="165" fontId="33" fillId="0" borderId="44" xfId="0" applyNumberFormat="1" applyFont="1" applyBorder="1"/>
    <xf numFmtId="14" fontId="24" fillId="0" borderId="0" xfId="0" applyNumberFormat="1" applyFont="1" applyAlignment="1">
      <alignment horizontal="left" vertical="center"/>
    </xf>
    <xf numFmtId="0" fontId="34" fillId="0" borderId="45" xfId="0" applyFont="1" applyBorder="1" applyAlignment="1">
      <alignment vertical="center"/>
    </xf>
    <xf numFmtId="0" fontId="34" fillId="0" borderId="42" xfId="0" applyFont="1" applyBorder="1" applyAlignment="1">
      <alignment vertical="center"/>
    </xf>
    <xf numFmtId="165" fontId="47" fillId="0" borderId="14" xfId="0" applyNumberFormat="1" applyFont="1" applyBorder="1" applyAlignment="1">
      <alignment vertical="center"/>
    </xf>
    <xf numFmtId="15" fontId="33" fillId="0" borderId="0" xfId="0" applyNumberFormat="1" applyFont="1" applyAlignment="1">
      <alignment horizontal="left" vertical="center"/>
    </xf>
    <xf numFmtId="0" fontId="33" fillId="0" borderId="14" xfId="0" applyFont="1" applyBorder="1" applyAlignment="1">
      <alignment horizontal="center" vertical="center"/>
    </xf>
    <xf numFmtId="0" fontId="34" fillId="2" borderId="14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0" xfId="0" applyFont="1"/>
    <xf numFmtId="0" fontId="34" fillId="0" borderId="8" xfId="0" applyFont="1" applyBorder="1" applyAlignment="1">
      <alignment vertical="center"/>
    </xf>
    <xf numFmtId="0" fontId="34" fillId="0" borderId="51" xfId="0" applyFont="1" applyBorder="1" applyAlignment="1">
      <alignment vertical="center"/>
    </xf>
    <xf numFmtId="165" fontId="37" fillId="0" borderId="9" xfId="0" applyNumberFormat="1" applyFont="1" applyBorder="1" applyAlignment="1">
      <alignment horizontal="center" vertical="center"/>
    </xf>
    <xf numFmtId="165" fontId="37" fillId="0" borderId="9" xfId="0" applyNumberFormat="1" applyFont="1" applyBorder="1" applyAlignment="1">
      <alignment vertical="center"/>
    </xf>
    <xf numFmtId="165" fontId="37" fillId="0" borderId="51" xfId="0" applyNumberFormat="1" applyFont="1" applyBorder="1" applyAlignment="1">
      <alignment horizontal="center" vertical="center"/>
    </xf>
    <xf numFmtId="15" fontId="55" fillId="0" borderId="0" xfId="0" applyNumberFormat="1" applyFont="1" applyAlignment="1">
      <alignment horizontal="left" vertical="center"/>
    </xf>
    <xf numFmtId="165" fontId="30" fillId="0" borderId="14" xfId="0" applyNumberFormat="1" applyFont="1" applyBorder="1" applyAlignment="1">
      <alignment horizontal="center" vertical="center"/>
    </xf>
    <xf numFmtId="165" fontId="30" fillId="0" borderId="14" xfId="0" quotePrefix="1" applyNumberFormat="1" applyFont="1" applyBorder="1" applyAlignment="1">
      <alignment horizontal="center" vertical="center"/>
    </xf>
    <xf numFmtId="165" fontId="30" fillId="0" borderId="14" xfId="0" quotePrefix="1" applyNumberFormat="1" applyFont="1" applyBorder="1" applyAlignment="1">
      <alignment horizontal="center" vertical="center" wrapText="1"/>
    </xf>
    <xf numFmtId="165" fontId="30" fillId="0" borderId="14" xfId="0" applyNumberFormat="1" applyFont="1" applyBorder="1" applyAlignment="1">
      <alignment horizontal="center" vertical="center" wrapText="1"/>
    </xf>
    <xf numFmtId="165" fontId="18" fillId="0" borderId="29" xfId="0" applyNumberFormat="1" applyFont="1" applyBorder="1"/>
    <xf numFmtId="165" fontId="18" fillId="0" borderId="29" xfId="0" applyNumberFormat="1" applyFont="1" applyBorder="1" applyAlignment="1">
      <alignment vertical="center"/>
    </xf>
    <xf numFmtId="165" fontId="18" fillId="0" borderId="31" xfId="0" applyNumberFormat="1" applyFont="1" applyBorder="1" applyAlignment="1">
      <alignment horizontal="left"/>
    </xf>
    <xf numFmtId="165" fontId="31" fillId="0" borderId="31" xfId="0" applyNumberFormat="1" applyFont="1" applyBorder="1" applyAlignment="1">
      <alignment horizontal="left"/>
    </xf>
    <xf numFmtId="165" fontId="18" fillId="0" borderId="31" xfId="0" applyNumberFormat="1" applyFont="1" applyBorder="1" applyAlignment="1">
      <alignment vertical="center"/>
    </xf>
    <xf numFmtId="165" fontId="18" fillId="0" borderId="31" xfId="0" applyNumberFormat="1" applyFont="1" applyBorder="1"/>
    <xf numFmtId="165" fontId="18" fillId="0" borderId="31" xfId="0" applyNumberFormat="1" applyFont="1" applyBorder="1" applyAlignment="1">
      <alignment wrapText="1"/>
    </xf>
    <xf numFmtId="165" fontId="18" fillId="0" borderId="31" xfId="0" applyNumberFormat="1" applyFont="1" applyBorder="1" applyAlignment="1">
      <alignment horizontal="left" vertical="center" wrapText="1"/>
    </xf>
    <xf numFmtId="165" fontId="31" fillId="0" borderId="31" xfId="0" applyNumberFormat="1" applyFont="1" applyBorder="1" applyAlignment="1">
      <alignment horizontal="left" vertical="top" wrapText="1"/>
    </xf>
    <xf numFmtId="165" fontId="30" fillId="0" borderId="31" xfId="0" applyNumberFormat="1" applyFont="1" applyBorder="1" applyAlignment="1">
      <alignment vertical="center"/>
    </xf>
    <xf numFmtId="165" fontId="57" fillId="15" borderId="52" xfId="0" applyNumberFormat="1" applyFont="1" applyFill="1" applyBorder="1" applyAlignment="1">
      <alignment vertical="center" textRotation="90"/>
    </xf>
    <xf numFmtId="165" fontId="28" fillId="15" borderId="23" xfId="0" quotePrefix="1" applyNumberFormat="1" applyFont="1" applyFill="1" applyBorder="1" applyAlignment="1">
      <alignment horizontal="center" vertical="center"/>
    </xf>
    <xf numFmtId="165" fontId="18" fillId="0" borderId="57" xfId="0" applyNumberFormat="1" applyFont="1" applyBorder="1"/>
    <xf numFmtId="165" fontId="18" fillId="0" borderId="14" xfId="0" applyNumberFormat="1" applyFont="1" applyBorder="1"/>
    <xf numFmtId="165" fontId="18" fillId="0" borderId="14" xfId="0" applyNumberFormat="1" applyFont="1" applyBorder="1" applyAlignment="1">
      <alignment wrapText="1"/>
    </xf>
    <xf numFmtId="165" fontId="18" fillId="0" borderId="19" xfId="0" applyNumberFormat="1" applyFont="1" applyBorder="1"/>
    <xf numFmtId="0" fontId="58" fillId="0" borderId="14" xfId="0" applyFont="1" applyBorder="1" applyAlignment="1">
      <alignment horizontal="left" vertical="center"/>
    </xf>
    <xf numFmtId="0" fontId="58" fillId="0" borderId="17" xfId="0" applyFont="1" applyBorder="1" applyAlignment="1">
      <alignment horizontal="left" vertical="center"/>
    </xf>
    <xf numFmtId="164" fontId="33" fillId="0" borderId="14" xfId="0" applyNumberFormat="1" applyFont="1" applyBorder="1" applyAlignment="1">
      <alignment vertical="center"/>
    </xf>
    <xf numFmtId="165" fontId="59" fillId="0" borderId="14" xfId="0" applyNumberFormat="1" applyFont="1" applyBorder="1" applyAlignment="1">
      <alignment vertical="center"/>
    </xf>
    <xf numFmtId="0" fontId="0" fillId="19" borderId="0" xfId="0" applyFill="1"/>
    <xf numFmtId="165" fontId="37" fillId="19" borderId="14" xfId="0" applyNumberFormat="1" applyFont="1" applyFill="1" applyBorder="1" applyAlignment="1">
      <alignment vertical="center"/>
    </xf>
    <xf numFmtId="0" fontId="33" fillId="0" borderId="17" xfId="0" applyFont="1" applyBorder="1" applyAlignment="1">
      <alignment horizontal="left" vertical="center"/>
    </xf>
    <xf numFmtId="0" fontId="35" fillId="19" borderId="0" xfId="0" applyFont="1" applyFill="1" applyAlignment="1">
      <alignment horizontal="center" vertical="center"/>
    </xf>
    <xf numFmtId="0" fontId="34" fillId="19" borderId="35" xfId="0" applyFont="1" applyFill="1" applyBorder="1" applyAlignment="1">
      <alignment horizontal="center" vertical="center"/>
    </xf>
    <xf numFmtId="0" fontId="34" fillId="19" borderId="39" xfId="0" applyFont="1" applyFill="1" applyBorder="1" applyAlignment="1">
      <alignment vertical="center"/>
    </xf>
    <xf numFmtId="0" fontId="38" fillId="19" borderId="40" xfId="0" applyFont="1" applyFill="1" applyBorder="1" applyAlignment="1">
      <alignment horizontal="center" vertical="center"/>
    </xf>
    <xf numFmtId="0" fontId="35" fillId="19" borderId="0" xfId="0" applyFont="1" applyFill="1" applyAlignment="1">
      <alignment vertical="center"/>
    </xf>
    <xf numFmtId="0" fontId="9" fillId="22" borderId="14" xfId="0" applyFont="1" applyFill="1" applyBorder="1" applyAlignment="1">
      <alignment vertical="center"/>
    </xf>
    <xf numFmtId="0" fontId="21" fillId="23" borderId="14" xfId="0" applyFont="1" applyFill="1" applyBorder="1" applyAlignment="1">
      <alignment vertical="center" textRotation="90"/>
    </xf>
    <xf numFmtId="165" fontId="22" fillId="21" borderId="14" xfId="0" applyNumberFormat="1" applyFont="1" applyFill="1" applyBorder="1" applyAlignment="1">
      <alignment vertical="center"/>
    </xf>
    <xf numFmtId="165" fontId="20" fillId="21" borderId="14" xfId="0" applyNumberFormat="1" applyFont="1" applyFill="1" applyBorder="1" applyAlignment="1">
      <alignment horizontal="center" vertical="center"/>
    </xf>
    <xf numFmtId="165" fontId="20" fillId="23" borderId="14" xfId="0" applyNumberFormat="1" applyFont="1" applyFill="1" applyBorder="1" applyAlignment="1">
      <alignment horizontal="center" vertical="center"/>
    </xf>
    <xf numFmtId="165" fontId="23" fillId="21" borderId="14" xfId="0" applyNumberFormat="1" applyFont="1" applyFill="1" applyBorder="1" applyAlignment="1">
      <alignment vertical="center"/>
    </xf>
    <xf numFmtId="165" fontId="20" fillId="21" borderId="14" xfId="0" applyNumberFormat="1" applyFont="1" applyFill="1" applyBorder="1" applyAlignment="1">
      <alignment vertical="center"/>
    </xf>
    <xf numFmtId="165" fontId="21" fillId="21" borderId="14" xfId="0" applyNumberFormat="1" applyFont="1" applyFill="1" applyBorder="1" applyAlignment="1">
      <alignment vertical="center"/>
    </xf>
    <xf numFmtId="165" fontId="11" fillId="21" borderId="0" xfId="0" applyNumberFormat="1" applyFont="1" applyFill="1" applyAlignment="1">
      <alignment vertical="center"/>
    </xf>
    <xf numFmtId="165" fontId="23" fillId="21" borderId="0" xfId="0" applyNumberFormat="1" applyFont="1" applyFill="1" applyAlignment="1">
      <alignment vertical="center"/>
    </xf>
    <xf numFmtId="165" fontId="8" fillId="21" borderId="0" xfId="0" applyNumberFormat="1" applyFont="1" applyFill="1" applyAlignment="1">
      <alignment vertical="center"/>
    </xf>
    <xf numFmtId="0" fontId="8" fillId="21" borderId="0" xfId="0" applyFont="1" applyFill="1" applyAlignment="1">
      <alignment vertical="center"/>
    </xf>
    <xf numFmtId="0" fontId="0" fillId="21" borderId="0" xfId="0" applyFill="1"/>
    <xf numFmtId="0" fontId="8" fillId="0" borderId="7" xfId="0" applyFont="1" applyBorder="1" applyAlignment="1">
      <alignment horizontal="center"/>
    </xf>
    <xf numFmtId="0" fontId="0" fillId="0" borderId="7" xfId="0" applyBorder="1"/>
    <xf numFmtId="165" fontId="8" fillId="0" borderId="7" xfId="0" applyNumberFormat="1" applyFont="1" applyBorder="1"/>
    <xf numFmtId="165" fontId="28" fillId="0" borderId="7" xfId="0" applyNumberFormat="1" applyFont="1" applyBorder="1"/>
    <xf numFmtId="0" fontId="8" fillId="0" borderId="7" xfId="0" applyFont="1" applyBorder="1"/>
    <xf numFmtId="0" fontId="9" fillId="11" borderId="14" xfId="0" applyFont="1" applyFill="1" applyBorder="1" applyAlignment="1">
      <alignment vertical="center"/>
    </xf>
    <xf numFmtId="0" fontId="35" fillId="21" borderId="0" xfId="0" applyFont="1" applyFill="1" applyAlignment="1">
      <alignment horizontal="center" vertical="center"/>
    </xf>
    <xf numFmtId="0" fontId="34" fillId="21" borderId="35" xfId="0" applyFont="1" applyFill="1" applyBorder="1" applyAlignment="1">
      <alignment horizontal="center" vertical="center"/>
    </xf>
    <xf numFmtId="0" fontId="34" fillId="21" borderId="39" xfId="0" applyFont="1" applyFill="1" applyBorder="1" applyAlignment="1">
      <alignment vertical="center"/>
    </xf>
    <xf numFmtId="0" fontId="38" fillId="21" borderId="40" xfId="0" applyFont="1" applyFill="1" applyBorder="1" applyAlignment="1">
      <alignment horizontal="center" vertical="center"/>
    </xf>
    <xf numFmtId="0" fontId="35" fillId="21" borderId="0" xfId="0" applyFont="1" applyFill="1" applyAlignment="1">
      <alignment vertical="center"/>
    </xf>
    <xf numFmtId="0" fontId="33" fillId="21" borderId="41" xfId="0" applyFont="1" applyFill="1" applyBorder="1" applyAlignment="1">
      <alignment vertical="center"/>
    </xf>
    <xf numFmtId="0" fontId="33" fillId="21" borderId="0" xfId="0" applyFont="1" applyFill="1" applyAlignment="1">
      <alignment vertical="center"/>
    </xf>
    <xf numFmtId="0" fontId="33" fillId="21" borderId="0" xfId="0" applyFont="1" applyFill="1" applyAlignment="1">
      <alignment horizontal="left" vertical="center"/>
    </xf>
    <xf numFmtId="0" fontId="14" fillId="21" borderId="0" xfId="0" applyFont="1" applyFill="1" applyAlignment="1">
      <alignment horizontal="center" vertical="center"/>
    </xf>
    <xf numFmtId="0" fontId="42" fillId="21" borderId="0" xfId="0" applyFont="1" applyFill="1" applyAlignment="1">
      <alignment vertical="center"/>
    </xf>
    <xf numFmtId="165" fontId="14" fillId="21" borderId="42" xfId="0" applyNumberFormat="1" applyFont="1" applyFill="1" applyBorder="1" applyAlignment="1">
      <alignment vertical="center"/>
    </xf>
    <xf numFmtId="0" fontId="34" fillId="21" borderId="41" xfId="0" applyFont="1" applyFill="1" applyBorder="1" applyAlignment="1">
      <alignment horizontal="center" vertical="center"/>
    </xf>
    <xf numFmtId="0" fontId="34" fillId="21" borderId="14" xfId="0" applyFont="1" applyFill="1" applyBorder="1" applyAlignment="1">
      <alignment vertical="center"/>
    </xf>
    <xf numFmtId="0" fontId="34" fillId="21" borderId="0" xfId="0" applyFont="1" applyFill="1" applyAlignment="1">
      <alignment vertical="center"/>
    </xf>
    <xf numFmtId="165" fontId="37" fillId="21" borderId="14" xfId="0" applyNumberFormat="1" applyFont="1" applyFill="1" applyBorder="1" applyAlignment="1">
      <alignment horizontal="center" vertical="center"/>
    </xf>
    <xf numFmtId="165" fontId="37" fillId="21" borderId="14" xfId="0" applyNumberFormat="1" applyFont="1" applyFill="1" applyBorder="1" applyAlignment="1">
      <alignment vertical="center"/>
    </xf>
    <xf numFmtId="165" fontId="37" fillId="21" borderId="42" xfId="0" applyNumberFormat="1" applyFont="1" applyFill="1" applyBorder="1" applyAlignment="1">
      <alignment vertical="center"/>
    </xf>
    <xf numFmtId="0" fontId="20" fillId="21" borderId="0" xfId="0" applyFont="1" applyFill="1"/>
    <xf numFmtId="0" fontId="9" fillId="21" borderId="14" xfId="0" applyFont="1" applyFill="1" applyBorder="1" applyAlignment="1">
      <alignment horizontal="center" vertical="center"/>
    </xf>
    <xf numFmtId="0" fontId="9" fillId="21" borderId="14" xfId="0" applyFont="1" applyFill="1" applyBorder="1" applyAlignment="1">
      <alignment vertical="center"/>
    </xf>
    <xf numFmtId="0" fontId="21" fillId="21" borderId="14" xfId="0" applyFont="1" applyFill="1" applyBorder="1" applyAlignment="1">
      <alignment vertical="center" textRotation="90"/>
    </xf>
    <xf numFmtId="165" fontId="9" fillId="21" borderId="14" xfId="0" applyNumberFormat="1" applyFont="1" applyFill="1" applyBorder="1" applyAlignment="1">
      <alignment horizontal="right" vertical="center"/>
    </xf>
    <xf numFmtId="165" fontId="9" fillId="21" borderId="14" xfId="0" applyNumberFormat="1" applyFont="1" applyFill="1" applyBorder="1" applyAlignment="1">
      <alignment horizontal="center" vertical="center"/>
    </xf>
    <xf numFmtId="165" fontId="11" fillId="21" borderId="14" xfId="0" applyNumberFormat="1" applyFont="1" applyFill="1" applyBorder="1" applyAlignment="1">
      <alignment vertical="center"/>
    </xf>
    <xf numFmtId="0" fontId="10" fillId="21" borderId="14" xfId="0" applyFont="1" applyFill="1" applyBorder="1" applyAlignment="1">
      <alignment vertical="center" textRotation="90"/>
    </xf>
    <xf numFmtId="165" fontId="10" fillId="21" borderId="14" xfId="0" applyNumberFormat="1" applyFont="1" applyFill="1" applyBorder="1" applyAlignment="1">
      <alignment vertical="center"/>
    </xf>
    <xf numFmtId="165" fontId="9" fillId="23" borderId="14" xfId="0" applyNumberFormat="1" applyFont="1" applyFill="1" applyBorder="1" applyAlignment="1">
      <alignment horizontal="center" vertical="center"/>
    </xf>
    <xf numFmtId="165" fontId="9" fillId="21" borderId="14" xfId="0" applyNumberFormat="1" applyFont="1" applyFill="1" applyBorder="1" applyAlignment="1">
      <alignment vertical="center"/>
    </xf>
    <xf numFmtId="0" fontId="11" fillId="21" borderId="0" xfId="0" applyFont="1" applyFill="1" applyAlignment="1">
      <alignment vertical="center"/>
    </xf>
    <xf numFmtId="0" fontId="10" fillId="21" borderId="14" xfId="0" applyFont="1" applyFill="1" applyBorder="1" applyAlignment="1">
      <alignment horizontal="center" vertical="center"/>
    </xf>
    <xf numFmtId="165" fontId="10" fillId="21" borderId="14" xfId="0" applyNumberFormat="1" applyFont="1" applyFill="1" applyBorder="1" applyAlignment="1">
      <alignment horizontal="center" vertical="center"/>
    </xf>
    <xf numFmtId="0" fontId="21" fillId="21" borderId="14" xfId="0" applyFont="1" applyFill="1" applyBorder="1" applyAlignment="1">
      <alignment horizontal="center" vertical="center"/>
    </xf>
    <xf numFmtId="165" fontId="22" fillId="21" borderId="14" xfId="0" applyNumberFormat="1" applyFont="1" applyFill="1" applyBorder="1" applyAlignment="1">
      <alignment horizontal="center" vertical="center"/>
    </xf>
    <xf numFmtId="165" fontId="21" fillId="23" borderId="14" xfId="0" applyNumberFormat="1" applyFont="1" applyFill="1" applyBorder="1" applyAlignment="1">
      <alignment vertical="center"/>
    </xf>
    <xf numFmtId="0" fontId="21" fillId="21" borderId="19" xfId="0" applyFont="1" applyFill="1" applyBorder="1" applyAlignment="1">
      <alignment horizontal="center" vertical="center"/>
    </xf>
    <xf numFmtId="165" fontId="22" fillId="21" borderId="19" xfId="0" applyNumberFormat="1" applyFont="1" applyFill="1" applyBorder="1" applyAlignment="1">
      <alignment horizontal="center" vertical="center"/>
    </xf>
    <xf numFmtId="0" fontId="10" fillId="23" borderId="14" xfId="0" applyFont="1" applyFill="1" applyBorder="1" applyAlignment="1">
      <alignment vertical="center" textRotation="90"/>
    </xf>
    <xf numFmtId="165" fontId="10" fillId="23" borderId="14" xfId="0" applyNumberFormat="1" applyFont="1" applyFill="1" applyBorder="1" applyAlignment="1">
      <alignment vertical="center"/>
    </xf>
    <xf numFmtId="165" fontId="9" fillId="25" borderId="14" xfId="0" applyNumberFormat="1" applyFont="1" applyFill="1" applyBorder="1" applyAlignment="1">
      <alignment horizontal="center" vertical="center"/>
    </xf>
    <xf numFmtId="165" fontId="15" fillId="26" borderId="0" xfId="0" applyNumberFormat="1" applyFont="1" applyFill="1"/>
    <xf numFmtId="0" fontId="15" fillId="21" borderId="0" xfId="0" applyFont="1" applyFill="1"/>
    <xf numFmtId="165" fontId="15" fillId="21" borderId="0" xfId="0" applyNumberFormat="1" applyFont="1" applyFill="1"/>
    <xf numFmtId="0" fontId="10" fillId="23" borderId="23" xfId="0" applyFont="1" applyFill="1" applyBorder="1" applyAlignment="1">
      <alignment horizontal="center" vertical="center" textRotation="90"/>
    </xf>
    <xf numFmtId="165" fontId="10" fillId="23" borderId="23" xfId="0" applyNumberFormat="1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vertical="center"/>
    </xf>
    <xf numFmtId="0" fontId="10" fillId="21" borderId="19" xfId="0" applyFont="1" applyFill="1" applyBorder="1" applyAlignment="1">
      <alignment vertical="center" textRotation="90"/>
    </xf>
    <xf numFmtId="165" fontId="10" fillId="21" borderId="19" xfId="0" applyNumberFormat="1" applyFont="1" applyFill="1" applyBorder="1" applyAlignment="1">
      <alignment vertical="center"/>
    </xf>
    <xf numFmtId="165" fontId="11" fillId="27" borderId="14" xfId="0" applyNumberFormat="1" applyFont="1" applyFill="1" applyBorder="1" applyAlignment="1">
      <alignment vertical="center"/>
    </xf>
    <xf numFmtId="165" fontId="11" fillId="21" borderId="0" xfId="0" applyNumberFormat="1" applyFont="1" applyFill="1"/>
    <xf numFmtId="0" fontId="11" fillId="21" borderId="0" xfId="0" applyFont="1" applyFill="1"/>
    <xf numFmtId="0" fontId="10" fillId="23" borderId="22" xfId="0" applyFont="1" applyFill="1" applyBorder="1" applyAlignment="1">
      <alignment horizontal="center" vertical="center" textRotation="90"/>
    </xf>
    <xf numFmtId="165" fontId="10" fillId="23" borderId="22" xfId="0" applyNumberFormat="1" applyFont="1" applyFill="1" applyBorder="1" applyAlignment="1">
      <alignment horizontal="center" vertical="center"/>
    </xf>
    <xf numFmtId="0" fontId="21" fillId="23" borderId="14" xfId="0" applyFont="1" applyFill="1" applyBorder="1" applyAlignment="1">
      <alignment horizontal="center" vertical="center" textRotation="90"/>
    </xf>
    <xf numFmtId="165" fontId="21" fillId="23" borderId="14" xfId="0" applyNumberFormat="1" applyFont="1" applyFill="1" applyBorder="1" applyAlignment="1">
      <alignment horizontal="center" vertical="center"/>
    </xf>
    <xf numFmtId="165" fontId="23" fillId="21" borderId="14" xfId="0" applyNumberFormat="1" applyFont="1" applyFill="1" applyBorder="1"/>
    <xf numFmtId="165" fontId="23" fillId="21" borderId="14" xfId="0" applyNumberFormat="1" applyFont="1" applyFill="1" applyBorder="1" applyAlignment="1">
      <alignment horizontal="center"/>
    </xf>
    <xf numFmtId="165" fontId="20" fillId="25" borderId="14" xfId="0" applyNumberFormat="1" applyFont="1" applyFill="1" applyBorder="1" applyAlignment="1">
      <alignment horizontal="center"/>
    </xf>
    <xf numFmtId="165" fontId="20" fillId="23" borderId="14" xfId="0" applyNumberFormat="1" applyFont="1" applyFill="1" applyBorder="1" applyAlignment="1">
      <alignment horizontal="center"/>
    </xf>
    <xf numFmtId="165" fontId="21" fillId="21" borderId="14" xfId="0" applyNumberFormat="1" applyFont="1" applyFill="1" applyBorder="1"/>
    <xf numFmtId="165" fontId="23" fillId="21" borderId="0" xfId="0" applyNumberFormat="1" applyFont="1" applyFill="1"/>
    <xf numFmtId="165" fontId="8" fillId="21" borderId="0" xfId="0" applyNumberFormat="1" applyFont="1" applyFill="1"/>
    <xf numFmtId="0" fontId="18" fillId="21" borderId="14" xfId="0" applyFont="1" applyFill="1" applyBorder="1" applyAlignment="1">
      <alignment horizontal="center" vertical="center"/>
    </xf>
    <xf numFmtId="165" fontId="11" fillId="21" borderId="20" xfId="0" applyNumberFormat="1" applyFont="1" applyFill="1" applyBorder="1" applyAlignment="1">
      <alignment vertical="center"/>
    </xf>
    <xf numFmtId="165" fontId="10" fillId="21" borderId="20" xfId="0" applyNumberFormat="1" applyFont="1" applyFill="1" applyBorder="1" applyAlignment="1">
      <alignment vertical="center"/>
    </xf>
    <xf numFmtId="0" fontId="10" fillId="23" borderId="22" xfId="0" applyFont="1" applyFill="1" applyBorder="1" applyAlignment="1">
      <alignment vertical="center" textRotation="90"/>
    </xf>
    <xf numFmtId="165" fontId="10" fillId="23" borderId="22" xfId="0" applyNumberFormat="1" applyFont="1" applyFill="1" applyBorder="1" applyAlignment="1">
      <alignment vertical="center"/>
    </xf>
    <xf numFmtId="165" fontId="11" fillId="21" borderId="14" xfId="0" applyNumberFormat="1" applyFont="1" applyFill="1" applyBorder="1" applyAlignment="1">
      <alignment horizontal="center" vertical="center"/>
    </xf>
    <xf numFmtId="0" fontId="10" fillId="21" borderId="20" xfId="0" applyFont="1" applyFill="1" applyBorder="1" applyAlignment="1">
      <alignment horizontal="center" vertical="center" textRotation="90"/>
    </xf>
    <xf numFmtId="165" fontId="10" fillId="21" borderId="20" xfId="0" applyNumberFormat="1" applyFont="1" applyFill="1" applyBorder="1" applyAlignment="1">
      <alignment horizontal="center" vertical="center"/>
    </xf>
    <xf numFmtId="165" fontId="11" fillId="21" borderId="0" xfId="0" applyNumberFormat="1" applyFont="1" applyFill="1" applyAlignment="1">
      <alignment horizontal="right"/>
    </xf>
    <xf numFmtId="0" fontId="10" fillId="21" borderId="19" xfId="0" applyFont="1" applyFill="1" applyBorder="1" applyAlignment="1">
      <alignment horizontal="center" vertical="center" textRotation="90"/>
    </xf>
    <xf numFmtId="165" fontId="10" fillId="21" borderId="19" xfId="0" applyNumberFormat="1" applyFont="1" applyFill="1" applyBorder="1" applyAlignment="1">
      <alignment horizontal="center" vertical="center"/>
    </xf>
    <xf numFmtId="0" fontId="10" fillId="21" borderId="19" xfId="0" applyFont="1" applyFill="1" applyBorder="1" applyAlignment="1">
      <alignment horizontal="center" vertical="center"/>
    </xf>
    <xf numFmtId="165" fontId="9" fillId="23" borderId="21" xfId="0" applyNumberFormat="1" applyFont="1" applyFill="1" applyBorder="1" applyAlignment="1">
      <alignment horizontal="center" vertical="center"/>
    </xf>
    <xf numFmtId="165" fontId="18" fillId="21" borderId="20" xfId="0" applyNumberFormat="1" applyFont="1" applyFill="1" applyBorder="1" applyAlignment="1">
      <alignment vertical="center"/>
    </xf>
    <xf numFmtId="0" fontId="10" fillId="21" borderId="20" xfId="0" applyFont="1" applyFill="1" applyBorder="1" applyAlignment="1">
      <alignment horizontal="center" vertical="center"/>
    </xf>
    <xf numFmtId="0" fontId="9" fillId="21" borderId="14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vertical="center" textRotation="90"/>
    </xf>
    <xf numFmtId="165" fontId="10" fillId="21" borderId="18" xfId="0" applyNumberFormat="1" applyFont="1" applyFill="1" applyBorder="1" applyAlignment="1">
      <alignment vertical="center"/>
    </xf>
    <xf numFmtId="0" fontId="10" fillId="21" borderId="20" xfId="0" applyFont="1" applyFill="1" applyBorder="1" applyAlignment="1">
      <alignment vertical="center" textRotation="90"/>
    </xf>
    <xf numFmtId="165" fontId="11" fillId="27" borderId="21" xfId="0" applyNumberFormat="1" applyFont="1" applyFill="1" applyBorder="1" applyAlignment="1">
      <alignment vertical="center"/>
    </xf>
    <xf numFmtId="0" fontId="28" fillId="21" borderId="14" xfId="0" applyFont="1" applyFill="1" applyBorder="1" applyAlignment="1">
      <alignment horizontal="center" vertical="center"/>
    </xf>
    <xf numFmtId="165" fontId="28" fillId="21" borderId="14" xfId="0" applyNumberFormat="1" applyFont="1" applyFill="1" applyBorder="1" applyAlignment="1">
      <alignment horizontal="center" vertical="center"/>
    </xf>
    <xf numFmtId="165" fontId="28" fillId="21" borderId="14" xfId="0" applyNumberFormat="1" applyFont="1" applyFill="1" applyBorder="1"/>
    <xf numFmtId="165" fontId="11" fillId="21" borderId="14" xfId="0" applyNumberFormat="1" applyFont="1" applyFill="1" applyBorder="1"/>
    <xf numFmtId="0" fontId="11" fillId="22" borderId="14" xfId="0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165" fontId="15" fillId="26" borderId="14" xfId="0" applyNumberFormat="1" applyFont="1" applyFill="1" applyBorder="1" applyAlignment="1">
      <alignment vertical="center"/>
    </xf>
    <xf numFmtId="165" fontId="15" fillId="21" borderId="0" xfId="0" applyNumberFormat="1" applyFont="1" applyFill="1" applyAlignment="1">
      <alignment vertical="center"/>
    </xf>
    <xf numFmtId="165" fontId="11" fillId="28" borderId="21" xfId="0" applyNumberFormat="1" applyFont="1" applyFill="1" applyBorder="1" applyAlignment="1">
      <alignment vertical="center"/>
    </xf>
    <xf numFmtId="0" fontId="10" fillId="21" borderId="23" xfId="0" applyFont="1" applyFill="1" applyBorder="1" applyAlignment="1">
      <alignment vertical="center" textRotation="90"/>
    </xf>
    <xf numFmtId="165" fontId="10" fillId="21" borderId="23" xfId="0" applyNumberFormat="1" applyFont="1" applyFill="1" applyBorder="1" applyAlignment="1">
      <alignment vertical="center"/>
    </xf>
    <xf numFmtId="165" fontId="18" fillId="0" borderId="59" xfId="0" applyNumberFormat="1" applyFont="1" applyBorder="1"/>
    <xf numFmtId="165" fontId="18" fillId="0" borderId="59" xfId="0" applyNumberFormat="1" applyFont="1" applyBorder="1" applyAlignment="1">
      <alignment vertical="center"/>
    </xf>
    <xf numFmtId="0" fontId="62" fillId="0" borderId="59" xfId="0" applyFont="1" applyBorder="1"/>
    <xf numFmtId="17" fontId="13" fillId="0" borderId="14" xfId="0" applyNumberFormat="1" applyFont="1" applyBorder="1" applyAlignment="1">
      <alignment horizontal="center" vertical="center"/>
    </xf>
    <xf numFmtId="165" fontId="30" fillId="0" borderId="18" xfId="0" applyNumberFormat="1" applyFont="1" applyBorder="1" applyAlignment="1">
      <alignment horizontal="left" vertical="center"/>
    </xf>
    <xf numFmtId="0" fontId="9" fillId="29" borderId="14" xfId="0" applyFont="1" applyFill="1" applyBorder="1" applyAlignment="1">
      <alignment horizontal="center" vertical="center" wrapText="1"/>
    </xf>
    <xf numFmtId="0" fontId="9" fillId="30" borderId="14" xfId="0" applyFont="1" applyFill="1" applyBorder="1" applyAlignment="1">
      <alignment vertical="center"/>
    </xf>
    <xf numFmtId="0" fontId="10" fillId="31" borderId="14" xfId="0" applyFont="1" applyFill="1" applyBorder="1" applyAlignment="1">
      <alignment vertical="center" textRotation="90"/>
    </xf>
    <xf numFmtId="165" fontId="10" fillId="31" borderId="14" xfId="0" applyNumberFormat="1" applyFont="1" applyFill="1" applyBorder="1" applyAlignment="1">
      <alignment vertical="center"/>
    </xf>
    <xf numFmtId="165" fontId="9" fillId="29" borderId="14" xfId="0" applyNumberFormat="1" applyFont="1" applyFill="1" applyBorder="1" applyAlignment="1">
      <alignment horizontal="right" vertical="center"/>
    </xf>
    <xf numFmtId="165" fontId="9" fillId="29" borderId="14" xfId="0" applyNumberFormat="1" applyFont="1" applyFill="1" applyBorder="1" applyAlignment="1">
      <alignment horizontal="center" vertical="center"/>
    </xf>
    <xf numFmtId="165" fontId="9" fillId="32" borderId="14" xfId="0" applyNumberFormat="1" applyFont="1" applyFill="1" applyBorder="1" applyAlignment="1">
      <alignment horizontal="center" vertical="center"/>
    </xf>
    <xf numFmtId="165" fontId="9" fillId="29" borderId="14" xfId="0" applyNumberFormat="1" applyFont="1" applyFill="1" applyBorder="1" applyAlignment="1">
      <alignment vertical="center"/>
    </xf>
    <xf numFmtId="165" fontId="11" fillId="29" borderId="14" xfId="0" applyNumberFormat="1" applyFont="1" applyFill="1" applyBorder="1" applyAlignment="1">
      <alignment vertical="center"/>
    </xf>
    <xf numFmtId="165" fontId="10" fillId="29" borderId="14" xfId="0" applyNumberFormat="1" applyFont="1" applyFill="1" applyBorder="1" applyAlignment="1">
      <alignment vertical="center"/>
    </xf>
    <xf numFmtId="165" fontId="15" fillId="33" borderId="0" xfId="0" applyNumberFormat="1" applyFont="1" applyFill="1"/>
    <xf numFmtId="0" fontId="15" fillId="29" borderId="0" xfId="0" applyFont="1" applyFill="1"/>
    <xf numFmtId="165" fontId="15" fillId="29" borderId="0" xfId="0" applyNumberFormat="1" applyFont="1" applyFill="1"/>
    <xf numFmtId="0" fontId="0" fillId="29" borderId="0" xfId="0" applyFill="1"/>
    <xf numFmtId="0" fontId="33" fillId="21" borderId="14" xfId="0" applyFont="1" applyFill="1" applyBorder="1" applyAlignment="1">
      <alignment horizontal="left" vertical="center"/>
    </xf>
    <xf numFmtId="165" fontId="9" fillId="21" borderId="0" xfId="0" applyNumberFormat="1" applyFont="1" applyFill="1" applyAlignment="1">
      <alignment vertical="center"/>
    </xf>
    <xf numFmtId="165" fontId="15" fillId="34" borderId="14" xfId="0" applyNumberFormat="1" applyFont="1" applyFill="1" applyBorder="1" applyAlignment="1">
      <alignment vertical="center"/>
    </xf>
    <xf numFmtId="0" fontId="9" fillId="25" borderId="14" xfId="0" applyFont="1" applyFill="1" applyBorder="1" applyAlignment="1">
      <alignment vertical="center"/>
    </xf>
    <xf numFmtId="165" fontId="9" fillId="21" borderId="14" xfId="0" applyNumberFormat="1" applyFont="1" applyFill="1" applyBorder="1" applyAlignment="1">
      <alignment horizontal="left" vertical="center" indent="1"/>
    </xf>
    <xf numFmtId="164" fontId="33" fillId="0" borderId="14" xfId="0" applyNumberFormat="1" applyFont="1" applyBorder="1" applyAlignment="1">
      <alignment horizontal="right" vertical="center"/>
    </xf>
    <xf numFmtId="0" fontId="65" fillId="21" borderId="0" xfId="0" applyFont="1" applyFill="1"/>
    <xf numFmtId="0" fontId="65" fillId="0" borderId="0" xfId="0" applyFont="1"/>
    <xf numFmtId="0" fontId="66" fillId="21" borderId="59" xfId="0" applyFont="1" applyFill="1" applyBorder="1" applyAlignment="1">
      <alignment horizontal="center" vertical="center"/>
    </xf>
    <xf numFmtId="0" fontId="65" fillId="21" borderId="59" xfId="0" applyFont="1" applyFill="1" applyBorder="1" applyAlignment="1">
      <alignment horizontal="center" vertical="center"/>
    </xf>
    <xf numFmtId="20" fontId="65" fillId="21" borderId="59" xfId="0" applyNumberFormat="1" applyFont="1" applyFill="1" applyBorder="1" applyAlignment="1">
      <alignment horizontal="center" vertical="center"/>
    </xf>
    <xf numFmtId="20" fontId="65" fillId="0" borderId="59" xfId="0" applyNumberFormat="1" applyFont="1" applyBorder="1" applyAlignment="1">
      <alignment horizontal="center" vertical="center"/>
    </xf>
    <xf numFmtId="1" fontId="65" fillId="21" borderId="59" xfId="0" applyNumberFormat="1" applyFont="1" applyFill="1" applyBorder="1" applyAlignment="1">
      <alignment horizontal="center" vertical="center"/>
    </xf>
    <xf numFmtId="166" fontId="65" fillId="0" borderId="59" xfId="0" applyNumberFormat="1" applyFont="1" applyBorder="1" applyAlignment="1">
      <alignment horizontal="center" vertical="center"/>
    </xf>
    <xf numFmtId="20" fontId="69" fillId="21" borderId="59" xfId="0" applyNumberFormat="1" applyFont="1" applyFill="1" applyBorder="1" applyAlignment="1">
      <alignment horizontal="center" vertical="center"/>
    </xf>
    <xf numFmtId="20" fontId="69" fillId="0" borderId="59" xfId="0" applyNumberFormat="1" applyFont="1" applyBorder="1" applyAlignment="1">
      <alignment horizontal="center" vertical="center"/>
    </xf>
    <xf numFmtId="1" fontId="69" fillId="0" borderId="59" xfId="0" applyNumberFormat="1" applyFont="1" applyBorder="1" applyAlignment="1">
      <alignment horizontal="center" vertical="center"/>
    </xf>
    <xf numFmtId="166" fontId="69" fillId="0" borderId="59" xfId="0" applyNumberFormat="1" applyFont="1" applyBorder="1" applyAlignment="1">
      <alignment horizontal="center" vertical="center"/>
    </xf>
    <xf numFmtId="1" fontId="65" fillId="0" borderId="59" xfId="0" applyNumberFormat="1" applyFont="1" applyBorder="1" applyAlignment="1">
      <alignment horizontal="center" vertical="center"/>
    </xf>
    <xf numFmtId="0" fontId="65" fillId="0" borderId="59" xfId="0" applyFont="1" applyBorder="1" applyAlignment="1">
      <alignment horizontal="center" vertical="center"/>
    </xf>
    <xf numFmtId="167" fontId="65" fillId="0" borderId="59" xfId="0" applyNumberFormat="1" applyFont="1" applyBorder="1" applyAlignment="1">
      <alignment horizontal="center" vertical="center"/>
    </xf>
    <xf numFmtId="167" fontId="69" fillId="0" borderId="59" xfId="0" applyNumberFormat="1" applyFont="1" applyBorder="1" applyAlignment="1">
      <alignment horizontal="center" vertical="center"/>
    </xf>
    <xf numFmtId="167" fontId="65" fillId="21" borderId="59" xfId="0" applyNumberFormat="1" applyFont="1" applyFill="1" applyBorder="1" applyAlignment="1">
      <alignment horizontal="center" vertical="center"/>
    </xf>
    <xf numFmtId="167" fontId="69" fillId="21" borderId="59" xfId="0" applyNumberFormat="1" applyFont="1" applyFill="1" applyBorder="1" applyAlignment="1">
      <alignment horizontal="center" vertical="center"/>
    </xf>
    <xf numFmtId="0" fontId="70" fillId="0" borderId="0" xfId="0" applyFont="1"/>
    <xf numFmtId="166" fontId="65" fillId="21" borderId="59" xfId="0" applyNumberFormat="1" applyFont="1" applyFill="1" applyBorder="1" applyAlignment="1">
      <alignment horizontal="center" vertical="center"/>
    </xf>
    <xf numFmtId="1" fontId="69" fillId="21" borderId="59" xfId="0" applyNumberFormat="1" applyFont="1" applyFill="1" applyBorder="1" applyAlignment="1">
      <alignment horizontal="center" vertical="center"/>
    </xf>
    <xf numFmtId="166" fontId="69" fillId="21" borderId="59" xfId="0" applyNumberFormat="1" applyFont="1" applyFill="1" applyBorder="1" applyAlignment="1">
      <alignment horizontal="center" vertical="center"/>
    </xf>
    <xf numFmtId="20" fontId="65" fillId="21" borderId="59" xfId="0" applyNumberFormat="1" applyFont="1" applyFill="1" applyBorder="1" applyAlignment="1">
      <alignment horizontal="center"/>
    </xf>
    <xf numFmtId="0" fontId="65" fillId="21" borderId="63" xfId="0" applyFont="1" applyFill="1" applyBorder="1"/>
    <xf numFmtId="167" fontId="65" fillId="21" borderId="59" xfId="0" applyNumberFormat="1" applyFont="1" applyFill="1" applyBorder="1" applyAlignment="1">
      <alignment horizontal="center"/>
    </xf>
    <xf numFmtId="20" fontId="65" fillId="0" borderId="59" xfId="0" applyNumberFormat="1" applyFont="1" applyBorder="1" applyAlignment="1">
      <alignment horizontal="center"/>
    </xf>
    <xf numFmtId="166" fontId="65" fillId="0" borderId="59" xfId="0" applyNumberFormat="1" applyFont="1" applyBorder="1" applyAlignment="1">
      <alignment horizontal="center"/>
    </xf>
    <xf numFmtId="166" fontId="65" fillId="21" borderId="59" xfId="0" applyNumberFormat="1" applyFont="1" applyFill="1" applyBorder="1" applyAlignment="1">
      <alignment horizontal="center"/>
    </xf>
    <xf numFmtId="167" fontId="65" fillId="0" borderId="59" xfId="0" applyNumberFormat="1" applyFont="1" applyBorder="1" applyAlignment="1">
      <alignment horizontal="center"/>
    </xf>
    <xf numFmtId="1" fontId="65" fillId="0" borderId="59" xfId="0" applyNumberFormat="1" applyFont="1" applyBorder="1" applyAlignment="1">
      <alignment horizontal="center"/>
    </xf>
    <xf numFmtId="0" fontId="70" fillId="21" borderId="0" xfId="0" applyFont="1" applyFill="1"/>
    <xf numFmtId="0" fontId="65" fillId="0" borderId="60" xfId="0" applyFont="1" applyBorder="1" applyAlignment="1">
      <alignment horizontal="center" vertical="center"/>
    </xf>
    <xf numFmtId="1" fontId="66" fillId="0" borderId="60" xfId="0" applyNumberFormat="1" applyFont="1" applyBorder="1" applyAlignment="1">
      <alignment horizontal="center" vertical="center"/>
    </xf>
    <xf numFmtId="166" fontId="66" fillId="0" borderId="59" xfId="0" applyNumberFormat="1" applyFont="1" applyBorder="1" applyAlignment="1">
      <alignment horizontal="center" vertical="center"/>
    </xf>
    <xf numFmtId="1" fontId="66" fillId="0" borderId="59" xfId="0" applyNumberFormat="1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6" fillId="0" borderId="7" xfId="0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2" fontId="70" fillId="0" borderId="0" xfId="0" applyNumberFormat="1" applyFont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165" fontId="14" fillId="0" borderId="67" xfId="0" applyNumberFormat="1" applyFont="1" applyBorder="1" applyAlignment="1">
      <alignment vertical="center"/>
    </xf>
    <xf numFmtId="0" fontId="33" fillId="0" borderId="41" xfId="0" applyFont="1" applyBorder="1"/>
    <xf numFmtId="0" fontId="40" fillId="0" borderId="0" xfId="0" applyFont="1"/>
    <xf numFmtId="14" fontId="33" fillId="0" borderId="0" xfId="0" applyNumberFormat="1" applyFont="1"/>
    <xf numFmtId="14" fontId="33" fillId="0" borderId="42" xfId="0" applyNumberFormat="1" applyFont="1" applyBorder="1"/>
    <xf numFmtId="0" fontId="42" fillId="0" borderId="0" xfId="0" applyFont="1"/>
    <xf numFmtId="165" fontId="14" fillId="0" borderId="0" xfId="0" applyNumberFormat="1" applyFont="1"/>
    <xf numFmtId="0" fontId="43" fillId="0" borderId="42" xfId="0" applyFont="1" applyBorder="1"/>
    <xf numFmtId="0" fontId="3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5" fontId="14" fillId="0" borderId="42" xfId="0" applyNumberFormat="1" applyFont="1" applyBorder="1"/>
    <xf numFmtId="0" fontId="33" fillId="0" borderId="0" xfId="0" applyFont="1" applyAlignment="1">
      <alignment wrapText="1"/>
    </xf>
    <xf numFmtId="0" fontId="44" fillId="0" borderId="0" xfId="0" applyFont="1" applyAlignment="1">
      <alignment horizontal="left"/>
    </xf>
    <xf numFmtId="0" fontId="33" fillId="0" borderId="42" xfId="0" applyFont="1" applyBorder="1"/>
    <xf numFmtId="165" fontId="33" fillId="0" borderId="0" xfId="0" applyNumberFormat="1" applyFont="1"/>
    <xf numFmtId="0" fontId="14" fillId="0" borderId="42" xfId="0" applyFont="1" applyBorder="1" applyAlignment="1">
      <alignment horizontal="center"/>
    </xf>
    <xf numFmtId="0" fontId="33" fillId="0" borderId="14" xfId="0" applyFont="1" applyBorder="1" applyAlignment="1">
      <alignment horizontal="right"/>
    </xf>
    <xf numFmtId="165" fontId="33" fillId="0" borderId="14" xfId="0" applyNumberFormat="1" applyFont="1" applyBorder="1"/>
    <xf numFmtId="0" fontId="33" fillId="0" borderId="15" xfId="0" applyFont="1" applyBorder="1"/>
    <xf numFmtId="0" fontId="33" fillId="0" borderId="17" xfId="0" applyFont="1" applyBorder="1"/>
    <xf numFmtId="165" fontId="33" fillId="0" borderId="14" xfId="0" applyNumberFormat="1" applyFont="1" applyBorder="1" applyAlignment="1">
      <alignment horizontal="right"/>
    </xf>
    <xf numFmtId="165" fontId="33" fillId="0" borderId="42" xfId="0" applyNumberFormat="1" applyFont="1" applyBorder="1" applyAlignment="1">
      <alignment horizontal="right"/>
    </xf>
    <xf numFmtId="0" fontId="33" fillId="0" borderId="14" xfId="0" applyFont="1" applyBorder="1"/>
    <xf numFmtId="165" fontId="33" fillId="0" borderId="42" xfId="0" applyNumberFormat="1" applyFont="1" applyBorder="1"/>
    <xf numFmtId="0" fontId="33" fillId="0" borderId="14" xfId="0" applyFont="1" applyBorder="1" applyAlignment="1">
      <alignment horizontal="right" wrapText="1"/>
    </xf>
    <xf numFmtId="165" fontId="14" fillId="0" borderId="14" xfId="0" applyNumberFormat="1" applyFont="1" applyBorder="1"/>
    <xf numFmtId="0" fontId="33" fillId="0" borderId="43" xfId="0" applyFont="1" applyBorder="1"/>
    <xf numFmtId="0" fontId="33" fillId="0" borderId="45" xfId="0" applyFont="1" applyBorder="1"/>
    <xf numFmtId="164" fontId="28" fillId="0" borderId="14" xfId="1" applyFont="1" applyBorder="1" applyAlignment="1">
      <alignment horizontal="center" vertical="center"/>
    </xf>
    <xf numFmtId="164" fontId="18" fillId="0" borderId="29" xfId="1" applyFont="1" applyBorder="1" applyAlignment="1">
      <alignment vertical="center"/>
    </xf>
    <xf numFmtId="164" fontId="18" fillId="0" borderId="31" xfId="1" applyFont="1" applyBorder="1" applyAlignment="1">
      <alignment vertical="center"/>
    </xf>
    <xf numFmtId="164" fontId="18" fillId="0" borderId="57" xfId="1" applyFont="1" applyBorder="1" applyAlignment="1">
      <alignment vertical="center"/>
    </xf>
    <xf numFmtId="164" fontId="18" fillId="0" borderId="56" xfId="1" applyFont="1" applyBorder="1" applyAlignment="1">
      <alignment vertical="center"/>
    </xf>
    <xf numFmtId="164" fontId="18" fillId="0" borderId="14" xfId="1" applyFont="1" applyBorder="1" applyAlignment="1">
      <alignment vertical="center"/>
    </xf>
    <xf numFmtId="164" fontId="18" fillId="0" borderId="19" xfId="1" applyFont="1" applyBorder="1" applyAlignment="1">
      <alignment vertical="center"/>
    </xf>
    <xf numFmtId="164" fontId="18" fillId="0" borderId="18" xfId="1" applyFont="1" applyBorder="1" applyAlignment="1">
      <alignment vertical="center"/>
    </xf>
    <xf numFmtId="164" fontId="18" fillId="0" borderId="59" xfId="1" applyFont="1" applyBorder="1" applyAlignment="1">
      <alignment vertical="center"/>
    </xf>
    <xf numFmtId="164" fontId="34" fillId="0" borderId="0" xfId="0" applyNumberFormat="1" applyFont="1" applyAlignment="1">
      <alignment vertical="center"/>
    </xf>
    <xf numFmtId="164" fontId="34" fillId="24" borderId="0" xfId="1" applyFont="1" applyFill="1" applyAlignment="1">
      <alignment vertical="center"/>
    </xf>
    <xf numFmtId="165" fontId="18" fillId="0" borderId="62" xfId="0" applyNumberFormat="1" applyFont="1" applyBorder="1" applyAlignment="1">
      <alignment vertical="center"/>
    </xf>
    <xf numFmtId="0" fontId="73" fillId="0" borderId="59" xfId="0" applyFont="1" applyBorder="1"/>
    <xf numFmtId="0" fontId="74" fillId="0" borderId="59" xfId="0" applyFont="1" applyBorder="1"/>
    <xf numFmtId="164" fontId="74" fillId="0" borderId="59" xfId="1" applyFont="1" applyBorder="1"/>
    <xf numFmtId="164" fontId="73" fillId="0" borderId="59" xfId="1" applyFont="1" applyBorder="1"/>
    <xf numFmtId="0" fontId="74" fillId="0" borderId="59" xfId="0" applyFont="1" applyBorder="1" applyAlignment="1">
      <alignment horizontal="center" vertical="center"/>
    </xf>
    <xf numFmtId="0" fontId="66" fillId="0" borderId="59" xfId="0" applyFont="1" applyBorder="1" applyAlignment="1">
      <alignment horizontal="center" vertical="center"/>
    </xf>
    <xf numFmtId="2" fontId="66" fillId="0" borderId="59" xfId="0" applyNumberFormat="1" applyFont="1" applyBorder="1" applyAlignment="1">
      <alignment horizontal="center" vertical="center"/>
    </xf>
    <xf numFmtId="2" fontId="71" fillId="0" borderId="59" xfId="0" applyNumberFormat="1" applyFont="1" applyBorder="1" applyAlignment="1">
      <alignment horizontal="center" vertical="center"/>
    </xf>
    <xf numFmtId="3" fontId="76" fillId="0" borderId="0" xfId="0" applyNumberFormat="1" applyFont="1"/>
    <xf numFmtId="165" fontId="29" fillId="7" borderId="14" xfId="1" applyNumberFormat="1" applyFont="1" applyFill="1" applyBorder="1" applyAlignment="1">
      <alignment vertical="center"/>
    </xf>
    <xf numFmtId="165" fontId="18" fillId="0" borderId="59" xfId="1" applyNumberFormat="1" applyFont="1" applyBorder="1" applyAlignment="1">
      <alignment vertical="center"/>
    </xf>
    <xf numFmtId="0" fontId="33" fillId="0" borderId="7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165" fontId="11" fillId="24" borderId="14" xfId="0" applyNumberFormat="1" applyFont="1" applyFill="1" applyBorder="1" applyAlignment="1">
      <alignment vertical="center"/>
    </xf>
    <xf numFmtId="165" fontId="23" fillId="24" borderId="14" xfId="0" applyNumberFormat="1" applyFont="1" applyFill="1" applyBorder="1" applyAlignment="1">
      <alignment vertical="center"/>
    </xf>
    <xf numFmtId="165" fontId="30" fillId="7" borderId="14" xfId="1" applyNumberFormat="1" applyFont="1" applyFill="1" applyBorder="1" applyAlignment="1">
      <alignment vertical="center"/>
    </xf>
    <xf numFmtId="0" fontId="9" fillId="21" borderId="50" xfId="0" applyFont="1" applyFill="1" applyBorder="1" applyAlignment="1">
      <alignment horizontal="center" vertical="center" wrapText="1"/>
    </xf>
    <xf numFmtId="0" fontId="9" fillId="25" borderId="17" xfId="0" applyFont="1" applyFill="1" applyBorder="1" applyAlignment="1">
      <alignment vertical="center"/>
    </xf>
    <xf numFmtId="0" fontId="10" fillId="21" borderId="22" xfId="0" applyFont="1" applyFill="1" applyBorder="1" applyAlignment="1">
      <alignment vertical="center" textRotation="90"/>
    </xf>
    <xf numFmtId="165" fontId="10" fillId="21" borderId="22" xfId="0" applyNumberFormat="1" applyFont="1" applyFill="1" applyBorder="1" applyAlignment="1">
      <alignment vertical="center"/>
    </xf>
    <xf numFmtId="0" fontId="14" fillId="0" borderId="15" xfId="0" applyFont="1" applyBorder="1" applyAlignment="1">
      <alignment horizontal="right" vertical="center"/>
    </xf>
    <xf numFmtId="0" fontId="2" fillId="0" borderId="16" xfId="0" applyFont="1" applyBorder="1"/>
    <xf numFmtId="0" fontId="2" fillId="0" borderId="17" xfId="0" applyFont="1" applyBorder="1"/>
    <xf numFmtId="165" fontId="29" fillId="12" borderId="24" xfId="0" applyNumberFormat="1" applyFont="1" applyFill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12" xfId="0" applyFont="1" applyBorder="1"/>
    <xf numFmtId="0" fontId="12" fillId="7" borderId="1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14" fillId="11" borderId="15" xfId="0" applyFont="1" applyFill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/>
    <xf numFmtId="0" fontId="36" fillId="10" borderId="32" xfId="0" applyFont="1" applyFill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/>
    <xf numFmtId="0" fontId="39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49" fillId="8" borderId="46" xfId="0" applyFont="1" applyFill="1" applyBorder="1" applyAlignment="1">
      <alignment horizontal="center" vertical="center"/>
    </xf>
    <xf numFmtId="0" fontId="2" fillId="0" borderId="47" xfId="0" applyFont="1" applyBorder="1"/>
    <xf numFmtId="0" fontId="2" fillId="0" borderId="48" xfId="0" applyFont="1" applyBorder="1"/>
    <xf numFmtId="0" fontId="54" fillId="8" borderId="46" xfId="0" applyFont="1" applyFill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0" fontId="37" fillId="0" borderId="38" xfId="0" applyFont="1" applyBorder="1" applyAlignment="1">
      <alignment horizontal="center" vertical="center"/>
    </xf>
    <xf numFmtId="0" fontId="36" fillId="10" borderId="33" xfId="0" applyFont="1" applyFill="1" applyBorder="1" applyAlignment="1">
      <alignment horizontal="center" vertical="center"/>
    </xf>
    <xf numFmtId="0" fontId="36" fillId="10" borderId="34" xfId="0" applyFont="1" applyFill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14" fillId="11" borderId="50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41" fillId="0" borderId="47" xfId="0" applyFont="1" applyBorder="1" applyAlignment="1">
      <alignment horizontal="left" vertical="center"/>
    </xf>
    <xf numFmtId="0" fontId="39" fillId="0" borderId="47" xfId="0" applyFont="1" applyBorder="1" applyAlignment="1">
      <alignment horizontal="right" vertical="center"/>
    </xf>
    <xf numFmtId="0" fontId="14" fillId="0" borderId="52" xfId="0" applyFont="1" applyBorder="1" applyAlignment="1">
      <alignment horizontal="center" vertical="center"/>
    </xf>
    <xf numFmtId="0" fontId="39" fillId="0" borderId="0" xfId="0" applyFont="1" applyAlignment="1">
      <alignment horizontal="right"/>
    </xf>
    <xf numFmtId="0" fontId="41" fillId="0" borderId="0" xfId="0" applyFont="1" applyAlignment="1">
      <alignment horizontal="left"/>
    </xf>
    <xf numFmtId="0" fontId="14" fillId="0" borderId="15" xfId="0" applyFont="1" applyBorder="1" applyAlignment="1">
      <alignment horizontal="center"/>
    </xf>
    <xf numFmtId="0" fontId="14" fillId="11" borderId="15" xfId="0" applyFont="1" applyFill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6" fillId="10" borderId="32" xfId="0" applyFont="1" applyFill="1" applyBorder="1" applyAlignment="1">
      <alignment horizontal="center"/>
    </xf>
    <xf numFmtId="0" fontId="33" fillId="0" borderId="0" xfId="0" applyFont="1" applyAlignment="1">
      <alignment horizontal="right" vertical="center"/>
    </xf>
    <xf numFmtId="0" fontId="37" fillId="0" borderId="15" xfId="0" applyFont="1" applyBorder="1" applyAlignment="1">
      <alignment horizontal="center" vertical="center"/>
    </xf>
    <xf numFmtId="0" fontId="51" fillId="10" borderId="46" xfId="0" applyFont="1" applyFill="1" applyBorder="1" applyAlignment="1">
      <alignment horizontal="center" vertical="center"/>
    </xf>
    <xf numFmtId="0" fontId="52" fillId="18" borderId="46" xfId="0" applyFont="1" applyFill="1" applyBorder="1" applyAlignment="1">
      <alignment horizontal="center" vertical="center"/>
    </xf>
    <xf numFmtId="0" fontId="37" fillId="19" borderId="36" xfId="0" applyFont="1" applyFill="1" applyBorder="1" applyAlignment="1">
      <alignment horizontal="center" vertical="center"/>
    </xf>
    <xf numFmtId="0" fontId="37" fillId="19" borderId="37" xfId="0" applyFont="1" applyFill="1" applyBorder="1" applyAlignment="1">
      <alignment horizontal="center" vertical="center"/>
    </xf>
    <xf numFmtId="0" fontId="37" fillId="19" borderId="38" xfId="0" applyFont="1" applyFill="1" applyBorder="1" applyAlignment="1">
      <alignment horizontal="center" vertical="center"/>
    </xf>
    <xf numFmtId="0" fontId="53" fillId="6" borderId="46" xfId="0" applyFont="1" applyFill="1" applyBorder="1" applyAlignment="1">
      <alignment horizontal="center" vertical="center"/>
    </xf>
    <xf numFmtId="0" fontId="36" fillId="20" borderId="32" xfId="0" applyFont="1" applyFill="1" applyBorder="1" applyAlignment="1">
      <alignment horizontal="center" vertical="center"/>
    </xf>
    <xf numFmtId="0" fontId="36" fillId="20" borderId="33" xfId="0" applyFont="1" applyFill="1" applyBorder="1" applyAlignment="1">
      <alignment horizontal="center" vertical="center"/>
    </xf>
    <xf numFmtId="0" fontId="36" fillId="20" borderId="34" xfId="0" applyFont="1" applyFill="1" applyBorder="1" applyAlignment="1">
      <alignment horizontal="center" vertical="center"/>
    </xf>
    <xf numFmtId="0" fontId="50" fillId="9" borderId="46" xfId="0" applyFont="1" applyFill="1" applyBorder="1" applyAlignment="1">
      <alignment horizontal="center" vertical="center"/>
    </xf>
    <xf numFmtId="15" fontId="20" fillId="0" borderId="0" xfId="0" applyNumberFormat="1" applyFont="1" applyAlignment="1">
      <alignment horizontal="center" vertical="center"/>
    </xf>
    <xf numFmtId="0" fontId="2" fillId="0" borderId="49" xfId="0" applyFont="1" applyBorder="1"/>
    <xf numFmtId="0" fontId="14" fillId="0" borderId="0" xfId="0" applyFont="1" applyAlignment="1">
      <alignment horizontal="left" vertical="center"/>
    </xf>
    <xf numFmtId="0" fontId="49" fillId="17" borderId="46" xfId="0" applyFont="1" applyFill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2" fillId="0" borderId="69" xfId="0" applyFont="1" applyBorder="1"/>
    <xf numFmtId="0" fontId="2" fillId="24" borderId="33" xfId="0" applyFont="1" applyFill="1" applyBorder="1"/>
    <xf numFmtId="0" fontId="2" fillId="24" borderId="34" xfId="0" applyFont="1" applyFill="1" applyBorder="1"/>
    <xf numFmtId="0" fontId="37" fillId="21" borderId="36" xfId="0" applyFont="1" applyFill="1" applyBorder="1" applyAlignment="1">
      <alignment horizontal="center" vertical="center"/>
    </xf>
    <xf numFmtId="0" fontId="2" fillId="21" borderId="37" xfId="0" applyFont="1" applyFill="1" applyBorder="1"/>
    <xf numFmtId="0" fontId="2" fillId="21" borderId="38" xfId="0" applyFont="1" applyFill="1" applyBorder="1"/>
    <xf numFmtId="20" fontId="65" fillId="36" borderId="64" xfId="0" applyNumberFormat="1" applyFont="1" applyFill="1" applyBorder="1" applyAlignment="1">
      <alignment horizontal="center" vertical="center"/>
    </xf>
    <xf numFmtId="20" fontId="65" fillId="36" borderId="66" xfId="0" applyNumberFormat="1" applyFont="1" applyFill="1" applyBorder="1" applyAlignment="1">
      <alignment horizontal="center" vertical="center"/>
    </xf>
    <xf numFmtId="20" fontId="65" fillId="36" borderId="65" xfId="0" applyNumberFormat="1" applyFont="1" applyFill="1" applyBorder="1" applyAlignment="1">
      <alignment horizontal="center" vertical="center"/>
    </xf>
    <xf numFmtId="2" fontId="66" fillId="0" borderId="59" xfId="0" applyNumberFormat="1" applyFont="1" applyBorder="1" applyAlignment="1">
      <alignment horizontal="center" vertical="center"/>
    </xf>
    <xf numFmtId="0" fontId="66" fillId="0" borderId="59" xfId="0" applyFont="1" applyBorder="1" applyAlignment="1">
      <alignment horizontal="center" vertical="center"/>
    </xf>
    <xf numFmtId="20" fontId="65" fillId="19" borderId="64" xfId="0" applyNumberFormat="1" applyFont="1" applyFill="1" applyBorder="1" applyAlignment="1">
      <alignment horizontal="center" vertical="center"/>
    </xf>
    <xf numFmtId="20" fontId="65" fillId="19" borderId="66" xfId="0" applyNumberFormat="1" applyFont="1" applyFill="1" applyBorder="1" applyAlignment="1">
      <alignment horizontal="center" vertical="center"/>
    </xf>
    <xf numFmtId="20" fontId="65" fillId="37" borderId="64" xfId="0" applyNumberFormat="1" applyFont="1" applyFill="1" applyBorder="1" applyAlignment="1">
      <alignment horizontal="center" vertical="center"/>
    </xf>
    <xf numFmtId="20" fontId="65" fillId="37" borderId="66" xfId="0" applyNumberFormat="1" applyFont="1" applyFill="1" applyBorder="1" applyAlignment="1">
      <alignment horizontal="center" vertical="center"/>
    </xf>
    <xf numFmtId="20" fontId="65" fillId="37" borderId="65" xfId="0" applyNumberFormat="1" applyFont="1" applyFill="1" applyBorder="1" applyAlignment="1">
      <alignment horizontal="center" vertical="center"/>
    </xf>
    <xf numFmtId="0" fontId="67" fillId="35" borderId="59" xfId="0" applyFont="1" applyFill="1" applyBorder="1" applyAlignment="1">
      <alignment horizontal="center" vertical="center"/>
    </xf>
    <xf numFmtId="0" fontId="68" fillId="21" borderId="59" xfId="0" applyFont="1" applyFill="1" applyBorder="1" applyAlignment="1">
      <alignment horizontal="center" vertical="center"/>
    </xf>
    <xf numFmtId="0" fontId="66" fillId="21" borderId="59" xfId="0" applyFont="1" applyFill="1" applyBorder="1" applyAlignment="1">
      <alignment horizontal="center" vertical="center"/>
    </xf>
    <xf numFmtId="0" fontId="56" fillId="0" borderId="15" xfId="0" applyFont="1" applyBorder="1" applyAlignment="1">
      <alignment horizontal="center"/>
    </xf>
    <xf numFmtId="165" fontId="13" fillId="0" borderId="53" xfId="0" quotePrefix="1" applyNumberFormat="1" applyFont="1" applyBorder="1" applyAlignment="1">
      <alignment horizontal="center" vertical="center" textRotation="90"/>
    </xf>
    <xf numFmtId="0" fontId="63" fillId="0" borderId="54" xfId="0" applyFont="1" applyBorder="1"/>
    <xf numFmtId="0" fontId="63" fillId="0" borderId="55" xfId="0" applyFont="1" applyBorder="1"/>
    <xf numFmtId="165" fontId="13" fillId="0" borderId="56" xfId="0" quotePrefix="1" applyNumberFormat="1" applyFont="1" applyBorder="1" applyAlignment="1">
      <alignment horizontal="center" vertical="center" textRotation="90"/>
    </xf>
    <xf numFmtId="0" fontId="63" fillId="0" borderId="56" xfId="0" applyFont="1" applyBorder="1"/>
    <xf numFmtId="165" fontId="13" fillId="0" borderId="18" xfId="0" quotePrefix="1" applyNumberFormat="1" applyFont="1" applyBorder="1" applyAlignment="1">
      <alignment horizontal="center" vertical="center" textRotation="90"/>
    </xf>
    <xf numFmtId="0" fontId="63" fillId="0" borderId="19" xfId="0" applyFont="1" applyBorder="1"/>
    <xf numFmtId="0" fontId="63" fillId="0" borderId="20" xfId="0" applyFont="1" applyBorder="1"/>
    <xf numFmtId="17" fontId="13" fillId="0" borderId="18" xfId="0" applyNumberFormat="1" applyFont="1" applyBorder="1" applyAlignment="1">
      <alignment horizontal="center" vertical="center"/>
    </xf>
    <xf numFmtId="0" fontId="63" fillId="0" borderId="19" xfId="0" applyFont="1" applyBorder="1" applyAlignment="1">
      <alignment vertical="center"/>
    </xf>
    <xf numFmtId="0" fontId="63" fillId="0" borderId="20" xfId="0" applyFont="1" applyBorder="1" applyAlignment="1">
      <alignment vertical="center"/>
    </xf>
    <xf numFmtId="17" fontId="61" fillId="0" borderId="59" xfId="0" applyNumberFormat="1" applyFont="1" applyBorder="1" applyAlignment="1">
      <alignment horizontal="center" vertical="center"/>
    </xf>
    <xf numFmtId="17" fontId="64" fillId="0" borderId="59" xfId="0" applyNumberFormat="1" applyFont="1" applyBorder="1" applyAlignment="1">
      <alignment horizontal="center" vertical="center"/>
    </xf>
    <xf numFmtId="17" fontId="13" fillId="0" borderId="60" xfId="0" applyNumberFormat="1" applyFont="1" applyBorder="1" applyAlignment="1">
      <alignment horizontal="center" vertical="center"/>
    </xf>
    <xf numFmtId="17" fontId="13" fillId="0" borderId="61" xfId="0" applyNumberFormat="1" applyFont="1" applyBorder="1" applyAlignment="1">
      <alignment horizontal="center" vertical="center"/>
    </xf>
    <xf numFmtId="17" fontId="13" fillId="0" borderId="62" xfId="0" applyNumberFormat="1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/>
    </xf>
    <xf numFmtId="0" fontId="63" fillId="0" borderId="58" xfId="0" applyFont="1" applyBorder="1" applyAlignment="1">
      <alignment vertical="center"/>
    </xf>
    <xf numFmtId="17" fontId="13" fillId="0" borderId="59" xfId="0" applyNumberFormat="1" applyFont="1" applyBorder="1" applyAlignment="1">
      <alignment horizontal="center" vertical="center"/>
    </xf>
    <xf numFmtId="0" fontId="63" fillId="0" borderId="59" xfId="0" applyFont="1" applyBorder="1" applyAlignment="1">
      <alignment horizontal="center" vertical="center"/>
    </xf>
    <xf numFmtId="0" fontId="75" fillId="0" borderId="5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285750</xdr:colOff>
      <xdr:row>2</xdr:row>
      <xdr:rowOff>857250</xdr:rowOff>
    </xdr:from>
    <xdr:ext cx="345757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10800000" flipH="1">
          <a:off x="3617213" y="3413287"/>
          <a:ext cx="3457575" cy="733425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Sufyan Adv Pendings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6700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21</xdr:col>
      <xdr:colOff>361950</xdr:colOff>
      <xdr:row>2</xdr:row>
      <xdr:rowOff>657225</xdr:rowOff>
    </xdr:from>
    <xdr:ext cx="2695575" cy="438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02975" y="3565688"/>
          <a:ext cx="2686050" cy="428625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Tariq New Adv pending 6000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2"/>
  <sheetViews>
    <sheetView view="pageBreakPreview" zoomScale="93" zoomScaleNormal="88" zoomScaleSheetLayoutView="93" workbookViewId="0">
      <pane ySplit="3" topLeftCell="A78" activePane="bottomLeft" state="frozen"/>
      <selection activeCell="J576" sqref="J576"/>
      <selection pane="bottomLeft" activeCell="F96" sqref="F96"/>
    </sheetView>
  </sheetViews>
  <sheetFormatPr defaultColWidth="12.7109375" defaultRowHeight="15" customHeight="1" x14ac:dyDescent="0.2"/>
  <cols>
    <col min="1" max="1" width="4.140625" bestFit="1" customWidth="1"/>
    <col min="2" max="2" width="27.140625" customWidth="1"/>
    <col min="3" max="3" width="9" hidden="1" customWidth="1"/>
    <col min="4" max="4" width="9.85546875" hidden="1" customWidth="1"/>
    <col min="5" max="5" width="12.28515625" customWidth="1"/>
    <col min="6" max="6" width="6.85546875" customWidth="1"/>
    <col min="7" max="7" width="5.7109375" customWidth="1"/>
    <col min="8" max="8" width="6.28515625" customWidth="1"/>
    <col min="9" max="9" width="11.85546875" customWidth="1"/>
    <col min="10" max="10" width="12.7109375" customWidth="1"/>
    <col min="11" max="11" width="16.140625" customWidth="1"/>
    <col min="12" max="12" width="12" customWidth="1"/>
    <col min="13" max="13" width="10.7109375" customWidth="1"/>
    <col min="14" max="14" width="12.7109375" customWidth="1"/>
    <col min="15" max="15" width="10.85546875" customWidth="1"/>
    <col min="16" max="16" width="15.85546875" customWidth="1"/>
    <col min="17" max="17" width="23.140625" customWidth="1"/>
    <col min="18" max="18" width="22" customWidth="1"/>
    <col min="19" max="19" width="19.7109375" bestFit="1" customWidth="1"/>
    <col min="20" max="20" width="17.28515625" customWidth="1"/>
    <col min="21" max="21" width="16.140625" customWidth="1"/>
    <col min="22" max="22" width="13.140625" customWidth="1"/>
    <col min="23" max="23" width="9.85546875" customWidth="1"/>
    <col min="24" max="24" width="11.7109375" customWidth="1"/>
    <col min="25" max="26" width="8.7109375" customWidth="1"/>
  </cols>
  <sheetData>
    <row r="1" spans="1:26" ht="12.75" customHeight="1" x14ac:dyDescent="0.4">
      <c r="A1" s="507" t="s">
        <v>0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9"/>
      <c r="N1" s="513" t="str">
        <f>'Salary Record'!J1</f>
        <v>September</v>
      </c>
      <c r="O1" s="509"/>
      <c r="P1" s="515">
        <f>'Salary Record'!K1</f>
        <v>2024</v>
      </c>
      <c r="Q1" s="1"/>
      <c r="R1" s="2"/>
      <c r="S1" s="3"/>
      <c r="T1" s="4"/>
      <c r="U1" s="3"/>
      <c r="V1" s="3"/>
      <c r="W1" s="3"/>
      <c r="X1" s="3"/>
      <c r="Y1" s="3"/>
      <c r="Z1" s="3"/>
    </row>
    <row r="2" spans="1:26" ht="15" customHeight="1" x14ac:dyDescent="0.4">
      <c r="A2" s="510"/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2"/>
      <c r="N2" s="514"/>
      <c r="O2" s="512"/>
      <c r="P2" s="516"/>
      <c r="Q2" s="5"/>
      <c r="R2" s="2"/>
      <c r="S2" s="3"/>
      <c r="T2" s="4"/>
      <c r="U2" s="3"/>
      <c r="V2" s="3"/>
      <c r="W2" s="3"/>
      <c r="X2" s="3"/>
      <c r="Y2" s="3"/>
      <c r="Z2" s="3"/>
    </row>
    <row r="3" spans="1:26" ht="39.75" customHeight="1" x14ac:dyDescent="0.2">
      <c r="A3" s="6"/>
      <c r="B3" s="7"/>
      <c r="C3" s="8"/>
      <c r="D3" s="8"/>
      <c r="E3" s="9" t="s">
        <v>1</v>
      </c>
      <c r="F3" s="10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11" t="s">
        <v>11</v>
      </c>
      <c r="P3" s="9" t="s">
        <v>12</v>
      </c>
      <c r="Q3" s="9" t="s">
        <v>13</v>
      </c>
      <c r="R3" s="12" t="s">
        <v>14</v>
      </c>
      <c r="T3" s="13"/>
    </row>
    <row r="4" spans="1:26" ht="12.75" customHeight="1" x14ac:dyDescent="0.2">
      <c r="A4" s="369">
        <v>1</v>
      </c>
      <c r="B4" s="15" t="s">
        <v>15</v>
      </c>
      <c r="C4" s="16"/>
      <c r="D4" s="17">
        <f t="shared" ref="D4:D5" si="0">E4</f>
        <v>0</v>
      </c>
      <c r="E4" s="18">
        <v>0</v>
      </c>
      <c r="F4" s="18"/>
      <c r="G4" s="18"/>
      <c r="H4" s="18"/>
      <c r="I4" s="18"/>
      <c r="J4" s="18"/>
      <c r="K4" s="18"/>
      <c r="L4" s="19"/>
      <c r="M4" s="19"/>
      <c r="N4" s="20"/>
      <c r="O4" s="19"/>
      <c r="P4" s="20"/>
      <c r="Q4" s="330"/>
      <c r="R4" s="22"/>
      <c r="S4" s="23"/>
      <c r="T4" s="22"/>
      <c r="U4" s="23"/>
      <c r="V4" s="23"/>
      <c r="W4" s="23"/>
      <c r="X4" s="23"/>
      <c r="Y4" s="23"/>
      <c r="Z4" s="23"/>
    </row>
    <row r="5" spans="1:26" ht="12.75" customHeight="1" x14ac:dyDescent="0.2">
      <c r="A5" s="59">
        <v>2</v>
      </c>
      <c r="B5" s="15" t="s">
        <v>16</v>
      </c>
      <c r="C5" s="15"/>
      <c r="D5" s="20">
        <f t="shared" si="0"/>
        <v>0</v>
      </c>
      <c r="E5" s="25">
        <v>0</v>
      </c>
      <c r="F5" s="25"/>
      <c r="G5" s="25"/>
      <c r="H5" s="25"/>
      <c r="I5" s="25"/>
      <c r="J5" s="25"/>
      <c r="K5" s="25"/>
      <c r="L5" s="19"/>
      <c r="M5" s="19"/>
      <c r="N5" s="20"/>
      <c r="O5" s="19"/>
      <c r="P5" s="20"/>
      <c r="Q5" s="26"/>
      <c r="R5" s="22"/>
      <c r="S5" s="23"/>
      <c r="T5" s="22"/>
      <c r="U5" s="23"/>
      <c r="V5" s="23"/>
      <c r="W5" s="23"/>
      <c r="X5" s="23"/>
      <c r="Y5" s="23"/>
      <c r="Z5" s="23"/>
    </row>
    <row r="6" spans="1:26" ht="12.75" customHeight="1" x14ac:dyDescent="0.25">
      <c r="A6" s="517" t="s">
        <v>17</v>
      </c>
      <c r="B6" s="502"/>
      <c r="C6" s="502"/>
      <c r="D6" s="502"/>
      <c r="E6" s="502"/>
      <c r="F6" s="502"/>
      <c r="G6" s="502"/>
      <c r="H6" s="502"/>
      <c r="I6" s="502"/>
      <c r="J6" s="502"/>
      <c r="K6" s="502"/>
      <c r="L6" s="502"/>
      <c r="M6" s="502"/>
      <c r="N6" s="502"/>
      <c r="O6" s="502"/>
      <c r="P6" s="502"/>
      <c r="Q6" s="503"/>
      <c r="R6" s="27"/>
      <c r="T6" s="13"/>
    </row>
    <row r="7" spans="1:26" ht="12.75" customHeight="1" x14ac:dyDescent="0.2">
      <c r="A7" s="14">
        <v>1</v>
      </c>
      <c r="B7" s="264" t="s">
        <v>18</v>
      </c>
      <c r="C7" s="28" t="s">
        <v>19</v>
      </c>
      <c r="D7" s="29">
        <f>SUM(Q7:Q10)</f>
        <v>0</v>
      </c>
      <c r="E7" s="19">
        <v>20000</v>
      </c>
      <c r="F7" s="19"/>
      <c r="G7" s="25"/>
      <c r="H7" s="19"/>
      <c r="I7" s="19"/>
      <c r="J7" s="19"/>
      <c r="K7" s="19"/>
      <c r="L7" s="19"/>
      <c r="M7" s="19"/>
      <c r="N7" s="20"/>
      <c r="O7" s="19"/>
      <c r="P7" s="20"/>
      <c r="Q7" s="330">
        <v>0</v>
      </c>
      <c r="R7" s="22"/>
      <c r="S7" s="22"/>
      <c r="T7" s="22"/>
      <c r="U7" s="23"/>
      <c r="V7" s="23"/>
      <c r="W7" s="23"/>
      <c r="X7" s="23"/>
      <c r="Y7" s="23"/>
      <c r="Z7" s="23"/>
    </row>
    <row r="8" spans="1:26" ht="12.75" customHeight="1" x14ac:dyDescent="0.2">
      <c r="A8" s="24">
        <v>2</v>
      </c>
      <c r="B8" s="264" t="s">
        <v>20</v>
      </c>
      <c r="C8" s="30"/>
      <c r="D8" s="31"/>
      <c r="E8" s="19">
        <v>25000</v>
      </c>
      <c r="F8" s="19"/>
      <c r="G8" s="25"/>
      <c r="H8" s="19"/>
      <c r="I8" s="19"/>
      <c r="J8" s="19"/>
      <c r="K8" s="19"/>
      <c r="L8" s="19"/>
      <c r="M8" s="19"/>
      <c r="N8" s="20"/>
      <c r="O8" s="19"/>
      <c r="P8" s="20"/>
      <c r="Q8" s="330">
        <v>0</v>
      </c>
      <c r="R8" s="22"/>
      <c r="S8" s="22"/>
      <c r="T8" s="22"/>
      <c r="U8" s="23"/>
      <c r="V8" s="23"/>
      <c r="W8" s="23"/>
      <c r="X8" s="23"/>
      <c r="Y8" s="23"/>
      <c r="Z8" s="23"/>
    </row>
    <row r="9" spans="1:26" ht="12.75" customHeight="1" x14ac:dyDescent="0.2">
      <c r="A9" s="14">
        <v>3</v>
      </c>
      <c r="B9" s="264" t="s">
        <v>21</v>
      </c>
      <c r="C9" s="30"/>
      <c r="D9" s="31"/>
      <c r="E9" s="19">
        <v>20000</v>
      </c>
      <c r="F9" s="19"/>
      <c r="G9" s="25"/>
      <c r="H9" s="19"/>
      <c r="I9" s="19"/>
      <c r="J9" s="19"/>
      <c r="K9" s="19"/>
      <c r="L9" s="19"/>
      <c r="M9" s="19"/>
      <c r="N9" s="20"/>
      <c r="O9" s="19"/>
      <c r="P9" s="20"/>
      <c r="Q9" s="330">
        <v>0</v>
      </c>
      <c r="R9" s="22"/>
      <c r="S9" s="23"/>
      <c r="T9" s="22"/>
      <c r="U9" s="23"/>
      <c r="V9" s="23"/>
      <c r="W9" s="23"/>
      <c r="X9" s="23"/>
      <c r="Y9" s="23"/>
      <c r="Z9" s="23"/>
    </row>
    <row r="10" spans="1:26" ht="12.75" customHeight="1" x14ac:dyDescent="0.2">
      <c r="A10" s="24">
        <v>4</v>
      </c>
      <c r="B10" s="264" t="s">
        <v>22</v>
      </c>
      <c r="C10" s="32"/>
      <c r="D10" s="33"/>
      <c r="E10" s="19">
        <v>15000</v>
      </c>
      <c r="F10" s="19"/>
      <c r="G10" s="25"/>
      <c r="H10" s="19"/>
      <c r="I10" s="19"/>
      <c r="J10" s="19"/>
      <c r="K10" s="19"/>
      <c r="L10" s="19"/>
      <c r="M10" s="19"/>
      <c r="N10" s="20"/>
      <c r="O10" s="19"/>
      <c r="P10" s="20"/>
      <c r="Q10" s="330">
        <v>0</v>
      </c>
      <c r="R10" s="22"/>
      <c r="S10" s="23"/>
      <c r="T10" s="34"/>
      <c r="U10" s="23"/>
      <c r="V10" s="23"/>
      <c r="W10" s="23"/>
      <c r="X10" s="23"/>
      <c r="Y10" s="23"/>
      <c r="Z10" s="23"/>
    </row>
    <row r="11" spans="1:26" ht="12.75" customHeight="1" x14ac:dyDescent="0.3">
      <c r="A11" s="518" t="s">
        <v>23</v>
      </c>
      <c r="B11" s="503"/>
      <c r="C11" s="36"/>
      <c r="D11" s="36"/>
      <c r="E11" s="37">
        <f>SUM(E7:E10)</f>
        <v>80000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0">
        <f>SUM(Q7:Q10)</f>
        <v>0</v>
      </c>
      <c r="R11" s="39"/>
      <c r="S11" s="40"/>
      <c r="T11" s="41"/>
      <c r="U11" s="40"/>
      <c r="V11" s="40"/>
      <c r="W11" s="40"/>
      <c r="X11" s="40"/>
      <c r="Y11" s="40"/>
      <c r="Z11" s="40"/>
    </row>
    <row r="12" spans="1:26" ht="12.75" customHeight="1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371"/>
      <c r="R12" s="41"/>
      <c r="S12" s="40"/>
      <c r="T12" s="41"/>
      <c r="U12" s="40"/>
      <c r="V12" s="40"/>
      <c r="W12" s="40"/>
      <c r="X12" s="40"/>
      <c r="Y12" s="40"/>
      <c r="Z12" s="40"/>
    </row>
    <row r="13" spans="1:26" ht="21" customHeight="1" x14ac:dyDescent="0.2">
      <c r="A13" s="519" t="s">
        <v>24</v>
      </c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502"/>
      <c r="Q13" s="503"/>
      <c r="R13" s="44"/>
      <c r="S13" s="45"/>
      <c r="T13" s="46"/>
      <c r="U13" s="45"/>
      <c r="V13" s="45"/>
      <c r="W13" s="45"/>
      <c r="X13" s="45"/>
      <c r="Y13" s="45"/>
      <c r="Z13" s="45"/>
    </row>
    <row r="14" spans="1:26" ht="15.6" customHeight="1" x14ac:dyDescent="0.2">
      <c r="A14" s="24">
        <v>1</v>
      </c>
      <c r="B14" s="264" t="str">
        <f>'Salary Record'!C70</f>
        <v>Ashraf Bhai</v>
      </c>
      <c r="C14" s="47"/>
      <c r="D14" s="48"/>
      <c r="E14" s="19">
        <f>'Salary Record'!K69</f>
        <v>90000</v>
      </c>
      <c r="F14" s="19">
        <f>'Salary Record'!C75</f>
        <v>30</v>
      </c>
      <c r="G14" s="25">
        <f>'Salary Record'!C76</f>
        <v>0</v>
      </c>
      <c r="H14" s="19">
        <f>'Salary Record'!I74</f>
        <v>0</v>
      </c>
      <c r="I14" s="19">
        <f>'Salary Record'!I73</f>
        <v>30</v>
      </c>
      <c r="J14" s="49">
        <f>'Salary Record'!K74</f>
        <v>0</v>
      </c>
      <c r="K14" s="49">
        <f>'Salary Record'!K75</f>
        <v>90000</v>
      </c>
      <c r="L14" s="50">
        <f>'Salary Record'!G73</f>
        <v>32000</v>
      </c>
      <c r="M14" s="51">
        <f>'Salary Record'!G74</f>
        <v>7000</v>
      </c>
      <c r="N14" s="52">
        <f>'Salary Record'!G75</f>
        <v>39000</v>
      </c>
      <c r="O14" s="51">
        <f>'Salary Record'!G76</f>
        <v>7000</v>
      </c>
      <c r="P14" s="52">
        <f>'Salary Record'!G77</f>
        <v>32000</v>
      </c>
      <c r="Q14" s="372">
        <f>'Salary Record'!K77</f>
        <v>83000</v>
      </c>
      <c r="R14" s="22"/>
      <c r="S14" s="22"/>
      <c r="T14" s="22"/>
      <c r="U14" s="23"/>
      <c r="V14" s="23"/>
      <c r="W14" s="23"/>
      <c r="X14" s="23"/>
      <c r="Y14" s="23"/>
      <c r="Z14" s="23"/>
    </row>
    <row r="15" spans="1:26" s="276" customFormat="1" ht="15.6" customHeight="1" x14ac:dyDescent="0.2">
      <c r="A15" s="24">
        <v>2</v>
      </c>
      <c r="B15" s="264" t="s">
        <v>25</v>
      </c>
      <c r="C15" s="328"/>
      <c r="D15" s="329"/>
      <c r="E15" s="310">
        <f>'Salary Record'!K54</f>
        <v>52000</v>
      </c>
      <c r="F15" s="310">
        <f>'Salary Record'!C60</f>
        <v>27</v>
      </c>
      <c r="G15" s="305">
        <f>'Salary Record'!C61</f>
        <v>3</v>
      </c>
      <c r="H15" s="310">
        <f>'Salary Record'!I59</f>
        <v>0</v>
      </c>
      <c r="I15" s="310">
        <f>'Salary Record'!I58</f>
        <v>30</v>
      </c>
      <c r="J15" s="309">
        <f>'Salary Record'!K59</f>
        <v>0</v>
      </c>
      <c r="K15" s="310">
        <f>'Salary Record'!K60</f>
        <v>52000</v>
      </c>
      <c r="L15" s="306">
        <f>'Salary Record'!G58</f>
        <v>30000</v>
      </c>
      <c r="M15" s="306">
        <f>'Salary Record'!G59</f>
        <v>3000</v>
      </c>
      <c r="N15" s="306">
        <f>'Salary Record'!G60</f>
        <v>33000</v>
      </c>
      <c r="O15" s="306">
        <f>'Salary Record'!G61</f>
        <v>0</v>
      </c>
      <c r="P15" s="306">
        <f>'Salary Record'!G62</f>
        <v>33000</v>
      </c>
      <c r="Q15" s="330">
        <f>'Salary Record'!K62</f>
        <v>52000</v>
      </c>
      <c r="R15" s="331"/>
      <c r="S15" s="331"/>
      <c r="T15" s="331"/>
      <c r="U15" s="332"/>
      <c r="V15" s="332"/>
      <c r="W15" s="332"/>
      <c r="X15" s="332"/>
      <c r="Y15" s="332"/>
      <c r="Z15" s="332"/>
    </row>
    <row r="16" spans="1:26" s="276" customFormat="1" ht="15.6" customHeight="1" x14ac:dyDescent="0.2">
      <c r="A16" s="24">
        <v>3</v>
      </c>
      <c r="B16" s="264" t="s">
        <v>26</v>
      </c>
      <c r="C16" s="360" t="s">
        <v>27</v>
      </c>
      <c r="D16" s="361">
        <f>SUM(Q16:Q47)</f>
        <v>1946725.0000000002</v>
      </c>
      <c r="E16" s="310">
        <f>'Salary Record'!K9</f>
        <v>75000</v>
      </c>
      <c r="F16" s="310">
        <f>'Salary Record'!C15</f>
        <v>30</v>
      </c>
      <c r="G16" s="310">
        <f>'Salary Record'!C16</f>
        <v>0</v>
      </c>
      <c r="H16" s="309">
        <f>'Salary Record'!I14</f>
        <v>0</v>
      </c>
      <c r="I16" s="310">
        <f>'Salary Record'!I13</f>
        <v>30</v>
      </c>
      <c r="J16" s="309">
        <f>'Salary Record'!K14</f>
        <v>0</v>
      </c>
      <c r="K16" s="310">
        <f>'Salary Record'!K15</f>
        <v>75000</v>
      </c>
      <c r="L16" s="306">
        <f>'Salary Record'!U9</f>
        <v>0</v>
      </c>
      <c r="M16" s="310">
        <f>'Salary Record'!V9</f>
        <v>0</v>
      </c>
      <c r="N16" s="308">
        <f>'Salary Record'!W9</f>
        <v>0</v>
      </c>
      <c r="O16" s="308">
        <f>'Salary Record'!X9</f>
        <v>0</v>
      </c>
      <c r="P16" s="308">
        <f>'Salary Record'!Y9</f>
        <v>0</v>
      </c>
      <c r="Q16" s="330">
        <f>'Salary Record'!K17</f>
        <v>75000</v>
      </c>
      <c r="R16" s="331"/>
      <c r="S16" s="331"/>
      <c r="T16" s="331"/>
      <c r="U16" s="332"/>
      <c r="V16" s="332"/>
      <c r="W16" s="332"/>
      <c r="X16" s="332"/>
      <c r="Y16" s="332"/>
      <c r="Z16" s="332"/>
    </row>
    <row r="17" spans="1:26" s="276" customFormat="1" ht="15.6" customHeight="1" x14ac:dyDescent="0.2">
      <c r="A17" s="24">
        <v>4</v>
      </c>
      <c r="B17" s="264" t="str">
        <f>'Salary Record'!C1043</f>
        <v>Abuzar Ghaffari</v>
      </c>
      <c r="C17" s="373"/>
      <c r="D17" s="374"/>
      <c r="E17" s="310">
        <f>'Salary Record'!K1042</f>
        <v>75000</v>
      </c>
      <c r="F17" s="310">
        <f>'Salary Record'!C1048</f>
        <v>28</v>
      </c>
      <c r="G17" s="310">
        <f>'Salary Record'!C1049</f>
        <v>2</v>
      </c>
      <c r="H17" s="309">
        <f>'Salary Record'!I1047</f>
        <v>0</v>
      </c>
      <c r="I17" s="310">
        <f>'Salary Record'!I1046</f>
        <v>30</v>
      </c>
      <c r="J17" s="309">
        <f>'Salary Record'!K1047</f>
        <v>0</v>
      </c>
      <c r="K17" s="310">
        <f>'Salary Record'!K1048</f>
        <v>75000</v>
      </c>
      <c r="L17" s="306">
        <f>'Salary Record'!G1046</f>
        <v>5000</v>
      </c>
      <c r="M17" s="310">
        <f>'Salary Record'!G1047</f>
        <v>0</v>
      </c>
      <c r="N17" s="308">
        <f>'Salary Record'!G1048</f>
        <v>5000</v>
      </c>
      <c r="O17" s="308">
        <f>'Salary Record'!G1049</f>
        <v>5000</v>
      </c>
      <c r="P17" s="308">
        <f>'Salary Record'!G1050</f>
        <v>0</v>
      </c>
      <c r="Q17" s="330">
        <f>'Salary Record'!K1050</f>
        <v>70000</v>
      </c>
      <c r="R17" s="331"/>
      <c r="S17" s="331"/>
      <c r="T17" s="331"/>
      <c r="U17" s="332"/>
      <c r="V17" s="332"/>
      <c r="W17" s="332"/>
      <c r="X17" s="332"/>
      <c r="Y17" s="332"/>
      <c r="Z17" s="332"/>
    </row>
    <row r="18" spans="1:26" s="276" customFormat="1" ht="15.6" customHeight="1" x14ac:dyDescent="0.2">
      <c r="A18" s="24">
        <v>5</v>
      </c>
      <c r="B18" s="264" t="str">
        <f>'Salary Record'!C100</f>
        <v>Ahsan Khan</v>
      </c>
      <c r="C18" s="307"/>
      <c r="D18" s="308"/>
      <c r="E18" s="310">
        <f>'Salary Record'!K99</f>
        <v>46000</v>
      </c>
      <c r="F18" s="306">
        <f>'Salary Record'!C105</f>
        <v>28</v>
      </c>
      <c r="G18" s="349">
        <f>'Salary Record'!C106</f>
        <v>2</v>
      </c>
      <c r="H18" s="306">
        <f>'Salary Record'!I104</f>
        <v>0</v>
      </c>
      <c r="I18" s="306">
        <f>'Salary Record'!I103</f>
        <v>30</v>
      </c>
      <c r="J18" s="309">
        <f>'Salary Record'!K104</f>
        <v>0</v>
      </c>
      <c r="K18" s="309">
        <f>'Salary Record'!K105</f>
        <v>46000</v>
      </c>
      <c r="L18" s="306">
        <f>'Salary Record'!G103</f>
        <v>35000</v>
      </c>
      <c r="M18" s="306">
        <f>'Salary Record'!G104</f>
        <v>10000</v>
      </c>
      <c r="N18" s="308">
        <f>'Salary Record'!G105</f>
        <v>45000</v>
      </c>
      <c r="O18" s="308">
        <f>'Salary Record'!H105</f>
        <v>0</v>
      </c>
      <c r="P18" s="308">
        <f>'Salary Record'!G107</f>
        <v>40000</v>
      </c>
      <c r="Q18" s="330">
        <f>'Salary Record'!K107</f>
        <v>41000</v>
      </c>
      <c r="R18" s="331"/>
      <c r="S18" s="331">
        <f>Q14+Q15+Q18+Q19</f>
        <v>222550</v>
      </c>
      <c r="T18" s="331">
        <f>Q15+Q18+Q19</f>
        <v>139550</v>
      </c>
      <c r="U18" s="331"/>
      <c r="V18" s="332"/>
      <c r="W18" s="332"/>
      <c r="X18" s="332"/>
      <c r="Y18" s="332"/>
      <c r="Z18" s="332"/>
    </row>
    <row r="19" spans="1:26" ht="16.149999999999999" customHeight="1" x14ac:dyDescent="0.2">
      <c r="A19" s="24">
        <v>6</v>
      </c>
      <c r="B19" s="264" t="s">
        <v>34</v>
      </c>
      <c r="C19" s="92"/>
      <c r="D19" s="31"/>
      <c r="E19" s="19">
        <f>'Salary Record'!K129</f>
        <v>42000</v>
      </c>
      <c r="F19" s="19">
        <f>'Salary Record'!C135</f>
        <v>26</v>
      </c>
      <c r="G19" s="25">
        <f>'Salary Record'!C136</f>
        <v>4</v>
      </c>
      <c r="H19" s="19">
        <f>'Salary Record'!I134</f>
        <v>26</v>
      </c>
      <c r="I19" s="19">
        <f>'Salary Record'!I133</f>
        <v>30</v>
      </c>
      <c r="J19" s="18">
        <f>'Salary Record'!K134</f>
        <v>4550</v>
      </c>
      <c r="K19" s="19">
        <f>'Salary Record'!K135</f>
        <v>46550</v>
      </c>
      <c r="L19" s="26">
        <f>'Salary Record'!G133</f>
        <v>0</v>
      </c>
      <c r="M19" s="19">
        <f>'Salary Record'!G134</f>
        <v>0</v>
      </c>
      <c r="N19" s="20">
        <f>'Salary Record'!G135</f>
        <v>0</v>
      </c>
      <c r="O19" s="19">
        <f>'Salary Record'!G136</f>
        <v>0</v>
      </c>
      <c r="P19" s="20">
        <f>'Salary Record'!G137</f>
        <v>0</v>
      </c>
      <c r="Q19" s="26">
        <f>'Salary Record'!K137</f>
        <v>46550</v>
      </c>
      <c r="R19" s="22" t="s">
        <v>35</v>
      </c>
      <c r="S19" s="22" t="s">
        <v>36</v>
      </c>
      <c r="T19" s="22"/>
      <c r="U19" s="22">
        <f>79400+48230+39000</f>
        <v>166630</v>
      </c>
      <c r="V19" s="23"/>
      <c r="W19" s="23"/>
      <c r="X19" s="23"/>
      <c r="Y19" s="23"/>
      <c r="Z19" s="23"/>
    </row>
    <row r="20" spans="1:26" s="276" customFormat="1" ht="15.6" customHeight="1" x14ac:dyDescent="0.2">
      <c r="A20" s="24">
        <v>7</v>
      </c>
      <c r="B20" s="264" t="str">
        <f>'Salary Record'!C25</f>
        <v>Maasi</v>
      </c>
      <c r="C20" s="362"/>
      <c r="D20" s="346"/>
      <c r="E20" s="310">
        <f>'Salary Record'!K24</f>
        <v>6000</v>
      </c>
      <c r="F20" s="310">
        <f>'Salary Record'!C30</f>
        <v>30</v>
      </c>
      <c r="G20" s="305">
        <f>'Salary Record'!C31</f>
        <v>0</v>
      </c>
      <c r="H20" s="310"/>
      <c r="I20" s="310">
        <f>'Salary Record'!I28</f>
        <v>0</v>
      </c>
      <c r="J20" s="310"/>
      <c r="K20" s="310">
        <f>'Salary Record'!K30</f>
        <v>6000</v>
      </c>
      <c r="L20" s="310" t="str">
        <f>'Salary Record'!G28</f>
        <v/>
      </c>
      <c r="M20" s="310">
        <f>'Salary Record'!G29</f>
        <v>0</v>
      </c>
      <c r="N20" s="308" t="str">
        <f>'Salary Record'!G30</f>
        <v/>
      </c>
      <c r="O20" s="310">
        <f>'Salary Record'!G31</f>
        <v>0</v>
      </c>
      <c r="P20" s="308" t="str">
        <f>'Salary Record'!G32</f>
        <v/>
      </c>
      <c r="Q20" s="330">
        <v>6000</v>
      </c>
      <c r="R20" s="331"/>
      <c r="S20" s="332"/>
      <c r="T20" s="331"/>
      <c r="U20" s="332"/>
      <c r="V20" s="332"/>
      <c r="W20" s="332"/>
      <c r="X20" s="332"/>
      <c r="Y20" s="332"/>
      <c r="Z20" s="332"/>
    </row>
    <row r="21" spans="1:26" s="276" customFormat="1" ht="16.149999999999999" customHeight="1" x14ac:dyDescent="0.3">
      <c r="A21" s="24">
        <v>8</v>
      </c>
      <c r="B21" s="282" t="str">
        <f>'Salary Record'!C1027</f>
        <v>Salman Ali Bhatti</v>
      </c>
      <c r="C21" s="319"/>
      <c r="D21" s="320"/>
      <c r="E21" s="304">
        <f>'Salary Record'!K1026</f>
        <v>28000</v>
      </c>
      <c r="F21" s="304">
        <f>'Salary Record'!C1032</f>
        <v>27</v>
      </c>
      <c r="G21" s="305">
        <f>'Salary Record'!C1033</f>
        <v>3</v>
      </c>
      <c r="H21" s="304">
        <f>'Salary Record'!I1031</f>
        <v>0</v>
      </c>
      <c r="I21" s="304">
        <f>'Salary Record'!I1030</f>
        <v>27</v>
      </c>
      <c r="J21" s="321">
        <f>'Salary Record'!K1031</f>
        <v>0</v>
      </c>
      <c r="K21" s="310">
        <f>'Salary Record'!K1032</f>
        <v>25200</v>
      </c>
      <c r="L21" s="306">
        <f>'Salary Record'!G1030</f>
        <v>13000</v>
      </c>
      <c r="M21" s="310">
        <f>'Salary Record'!G1031</f>
        <v>0</v>
      </c>
      <c r="N21" s="308">
        <f>'Salary Record'!G1032</f>
        <v>13000</v>
      </c>
      <c r="O21" s="310">
        <f>'Salary Record'!G1033</f>
        <v>2000</v>
      </c>
      <c r="P21" s="308">
        <f>'Salary Record'!G1034</f>
        <v>11000</v>
      </c>
      <c r="Q21" s="306">
        <f>'Salary Record'!K1034</f>
        <v>23200</v>
      </c>
      <c r="R21" s="322"/>
      <c r="S21" s="323"/>
      <c r="T21" s="324"/>
      <c r="U21" s="324"/>
      <c r="V21" s="323"/>
      <c r="W21" s="323"/>
      <c r="X21" s="323"/>
      <c r="Y21" s="323"/>
      <c r="Z21" s="323"/>
    </row>
    <row r="22" spans="1:26" s="276" customFormat="1" ht="15.6" customHeight="1" x14ac:dyDescent="0.2">
      <c r="A22" s="24">
        <v>9</v>
      </c>
      <c r="B22" s="264" t="str">
        <f>'Salary Record'!C40</f>
        <v>Umer Farooq</v>
      </c>
      <c r="C22" s="328"/>
      <c r="D22" s="329"/>
      <c r="E22" s="310">
        <f>'Salary Record'!K39</f>
        <v>23000</v>
      </c>
      <c r="F22" s="310">
        <f>'Salary Record'!C45</f>
        <v>30</v>
      </c>
      <c r="G22" s="305">
        <f>'Salary Record'!C46</f>
        <v>0</v>
      </c>
      <c r="H22" s="310">
        <f>'Salary Record'!I44</f>
        <v>0</v>
      </c>
      <c r="I22" s="310">
        <f>'Salary Record'!I43</f>
        <v>30</v>
      </c>
      <c r="J22" s="356">
        <f>'Salary Record'!K44</f>
        <v>0</v>
      </c>
      <c r="K22" s="356">
        <f>'Salary Record'!K45</f>
        <v>23000</v>
      </c>
      <c r="L22" s="345">
        <f>'Salary Record'!G43</f>
        <v>5000</v>
      </c>
      <c r="M22" s="345">
        <f>'Salary Record'!G44</f>
        <v>0</v>
      </c>
      <c r="N22" s="346">
        <f>'Salary Record'!G45</f>
        <v>5000</v>
      </c>
      <c r="O22" s="345">
        <f>'Salary Record'!G46</f>
        <v>0</v>
      </c>
      <c r="P22" s="346">
        <f>'Salary Record'!G47</f>
        <v>5000</v>
      </c>
      <c r="Q22" s="363">
        <f>'Salary Record'!K47</f>
        <v>23000</v>
      </c>
      <c r="R22" s="331"/>
      <c r="S22" s="331"/>
      <c r="T22" s="331"/>
      <c r="U22" s="332"/>
      <c r="V22" s="332"/>
      <c r="W22" s="332"/>
      <c r="X22" s="332"/>
      <c r="Y22" s="332"/>
      <c r="Z22" s="332"/>
    </row>
    <row r="23" spans="1:26" ht="21" x14ac:dyDescent="0.3">
      <c r="A23" s="518" t="s">
        <v>23</v>
      </c>
      <c r="B23" s="503"/>
      <c r="C23" s="36"/>
      <c r="D23" s="36"/>
      <c r="E23" s="37">
        <f>SUM(E14:E22)</f>
        <v>437000</v>
      </c>
      <c r="F23" s="36"/>
      <c r="G23" s="36"/>
      <c r="H23" s="36"/>
      <c r="I23" s="36"/>
      <c r="J23" s="55">
        <f>SUM(J14:J22)</f>
        <v>4550</v>
      </c>
      <c r="K23" s="55">
        <f>SUM(K14:K22)</f>
        <v>438750</v>
      </c>
      <c r="L23" s="55"/>
      <c r="M23" s="36"/>
      <c r="N23" s="36"/>
      <c r="O23" s="36"/>
      <c r="P23" s="36"/>
      <c r="Q23" s="37">
        <f>SUM(Q14:Q22)</f>
        <v>419750</v>
      </c>
      <c r="R23" s="39"/>
      <c r="S23" s="41"/>
      <c r="T23" s="41"/>
      <c r="U23" s="40"/>
      <c r="V23" s="40"/>
      <c r="W23" s="40"/>
      <c r="X23" s="40"/>
      <c r="Y23" s="40"/>
      <c r="Z23" s="40"/>
    </row>
    <row r="24" spans="1:26" ht="12.75" customHeight="1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  <c r="R24" s="41"/>
      <c r="S24" s="40"/>
      <c r="T24" s="41"/>
      <c r="U24" s="40"/>
      <c r="V24" s="40"/>
      <c r="W24" s="40"/>
      <c r="X24" s="40"/>
      <c r="Y24" s="40"/>
      <c r="Z24" s="40"/>
    </row>
    <row r="25" spans="1:26" ht="21" customHeight="1" x14ac:dyDescent="0.2">
      <c r="A25" s="517" t="s">
        <v>28</v>
      </c>
      <c r="B25" s="502"/>
      <c r="C25" s="502"/>
      <c r="D25" s="502"/>
      <c r="E25" s="502"/>
      <c r="F25" s="502"/>
      <c r="G25" s="502"/>
      <c r="H25" s="502"/>
      <c r="I25" s="502"/>
      <c r="J25" s="502"/>
      <c r="K25" s="502"/>
      <c r="L25" s="502"/>
      <c r="M25" s="502"/>
      <c r="N25" s="502"/>
      <c r="O25" s="502"/>
      <c r="P25" s="502"/>
      <c r="Q25" s="503"/>
      <c r="R25" s="56"/>
      <c r="S25" s="57"/>
      <c r="T25" s="57"/>
      <c r="U25" s="58"/>
      <c r="V25" s="58"/>
      <c r="W25" s="58"/>
      <c r="X25" s="58"/>
      <c r="Y25" s="58"/>
      <c r="Z25" s="58"/>
    </row>
    <row r="26" spans="1:26" ht="16.899999999999999" customHeight="1" x14ac:dyDescent="0.2">
      <c r="A26" s="24">
        <v>1</v>
      </c>
      <c r="B26" s="264" t="str">
        <f>'Salary Record'!C475</f>
        <v>Khizer Mujeeb</v>
      </c>
      <c r="C26" s="59"/>
      <c r="D26" s="60"/>
      <c r="E26" s="19">
        <f>'Salary Record'!K474</f>
        <v>34500</v>
      </c>
      <c r="F26" s="19">
        <f>'Salary Record'!C480</f>
        <v>30</v>
      </c>
      <c r="G26" s="25">
        <f>'Salary Record'!C481</f>
        <v>0</v>
      </c>
      <c r="H26" s="19">
        <f>'Salary Record'!I479</f>
        <v>39</v>
      </c>
      <c r="I26" s="19">
        <f>'Salary Record'!I478</f>
        <v>30</v>
      </c>
      <c r="J26" s="18">
        <f>'Salary Record'!K479</f>
        <v>5606.25</v>
      </c>
      <c r="K26" s="19">
        <f>'Salary Record'!K480</f>
        <v>40106.25</v>
      </c>
      <c r="L26" s="26">
        <f>'Salary Record'!G478</f>
        <v>0</v>
      </c>
      <c r="M26" s="19">
        <f>'Salary Record'!G479</f>
        <v>0</v>
      </c>
      <c r="N26" s="20">
        <f>'Salary Record'!G480</f>
        <v>0</v>
      </c>
      <c r="O26" s="19">
        <f>'Salary Record'!G481</f>
        <v>0</v>
      </c>
      <c r="P26" s="20">
        <f>'Salary Record'!G482</f>
        <v>0</v>
      </c>
      <c r="Q26" s="26">
        <f>'Salary Record'!K482</f>
        <v>40106.25</v>
      </c>
      <c r="R26" s="61" t="s">
        <v>29</v>
      </c>
      <c r="S26" s="62"/>
      <c r="T26" s="61"/>
      <c r="U26" s="62"/>
      <c r="V26" s="62"/>
      <c r="W26" s="62"/>
      <c r="X26" s="62"/>
      <c r="Y26" s="62"/>
      <c r="Z26" s="62"/>
    </row>
    <row r="27" spans="1:26" ht="16.899999999999999" customHeight="1" x14ac:dyDescent="0.2">
      <c r="A27" s="63">
        <v>2</v>
      </c>
      <c r="B27" s="264" t="str">
        <f>'Salary Record'!C445</f>
        <v>Hassan Khan</v>
      </c>
      <c r="C27" s="64"/>
      <c r="D27" s="65"/>
      <c r="E27" s="66">
        <f>'Salary Record'!K444</f>
        <v>30000</v>
      </c>
      <c r="F27" s="66">
        <f>'Salary Record'!C450</f>
        <v>30</v>
      </c>
      <c r="G27" s="67">
        <f>'Salary Record'!C451</f>
        <v>0</v>
      </c>
      <c r="H27" s="66">
        <f>'Salary Record'!I449</f>
        <v>57</v>
      </c>
      <c r="I27" s="66">
        <f>'Salary Record'!I448</f>
        <v>30</v>
      </c>
      <c r="J27" s="67">
        <f>'Salary Record'!K449</f>
        <v>7125</v>
      </c>
      <c r="K27" s="68">
        <f>'Salary Record'!K450</f>
        <v>37125</v>
      </c>
      <c r="L27" s="69">
        <f>'Salary Record'!G448</f>
        <v>0</v>
      </c>
      <c r="M27" s="68">
        <f>'Salary Record'!G449</f>
        <v>0</v>
      </c>
      <c r="N27" s="70">
        <f>'Salary Record'!G450</f>
        <v>0</v>
      </c>
      <c r="O27" s="68">
        <f>'Salary Record'!G451</f>
        <v>0</v>
      </c>
      <c r="P27" s="70">
        <f>'Salary Record'!G452</f>
        <v>0</v>
      </c>
      <c r="Q27" s="26">
        <f>'Salary Record'!K452</f>
        <v>37125</v>
      </c>
      <c r="R27" s="71"/>
      <c r="S27" s="72">
        <f>65000+Q30+30000</f>
        <v>237956.25</v>
      </c>
      <c r="T27" s="72"/>
      <c r="U27" s="73"/>
      <c r="V27" s="73"/>
      <c r="W27" s="73"/>
      <c r="X27" s="73"/>
      <c r="Y27" s="73"/>
      <c r="Z27" s="73"/>
    </row>
    <row r="28" spans="1:26" ht="16.899999999999999" customHeight="1" x14ac:dyDescent="0.2">
      <c r="A28" s="24">
        <v>3</v>
      </c>
      <c r="B28" s="264" t="str">
        <f>'Salary Record'!C460</f>
        <v>Taha Sohail</v>
      </c>
      <c r="C28" s="74"/>
      <c r="D28" s="17"/>
      <c r="E28" s="19">
        <f>'Salary Record'!K459</f>
        <v>32000</v>
      </c>
      <c r="F28" s="19">
        <f>'Salary Record'!C465</f>
        <v>23</v>
      </c>
      <c r="G28" s="25">
        <f>'Salary Record'!C466</f>
        <v>7</v>
      </c>
      <c r="H28" s="19">
        <f>'Salary Record'!I464</f>
        <v>38</v>
      </c>
      <c r="I28" s="19">
        <f>'Salary Record'!I463</f>
        <v>23</v>
      </c>
      <c r="J28" s="25">
        <f>'Salary Record'!K464</f>
        <v>5066.666666666667</v>
      </c>
      <c r="K28" s="18">
        <f>'Salary Record'!K465</f>
        <v>29600.000000000004</v>
      </c>
      <c r="L28" s="26">
        <f>'Salary Record'!G463</f>
        <v>0</v>
      </c>
      <c r="M28" s="19">
        <f>'Salary Record'!G464</f>
        <v>0</v>
      </c>
      <c r="N28" s="20">
        <f>'Salary Record'!G465</f>
        <v>0</v>
      </c>
      <c r="O28" s="19">
        <f>'Salary Record'!G466</f>
        <v>0</v>
      </c>
      <c r="P28" s="20">
        <f>'Salary Record'!G467</f>
        <v>0</v>
      </c>
      <c r="Q28" s="26">
        <f>'Salary Record'!K467</f>
        <v>29600.000000000004</v>
      </c>
      <c r="R28" s="61"/>
      <c r="S28" s="62"/>
      <c r="T28" s="61"/>
      <c r="U28" s="61"/>
      <c r="V28" s="62"/>
      <c r="W28" s="62"/>
      <c r="X28" s="62"/>
      <c r="Y28" s="62"/>
      <c r="Z28" s="62"/>
    </row>
    <row r="29" spans="1:26" ht="16.899999999999999" customHeight="1" x14ac:dyDescent="0.2">
      <c r="A29" s="63">
        <v>4</v>
      </c>
      <c r="B29" s="368" t="str">
        <f>'Salary Record'!C430</f>
        <v>Junaid</v>
      </c>
      <c r="C29" s="75"/>
      <c r="D29" s="76"/>
      <c r="E29" s="26">
        <f>'Salary Record'!K429</f>
        <v>30000</v>
      </c>
      <c r="F29" s="19">
        <f>'Salary Record'!C435</f>
        <v>30</v>
      </c>
      <c r="G29" s="77">
        <f>'Salary Record'!C436</f>
        <v>0</v>
      </c>
      <c r="H29" s="19">
        <f>'Salary Record'!I434</f>
        <v>49</v>
      </c>
      <c r="I29" s="26">
        <f>'Salary Record'!I433</f>
        <v>30</v>
      </c>
      <c r="J29" s="18">
        <f>'Salary Record'!K434</f>
        <v>6125</v>
      </c>
      <c r="K29" s="19">
        <f>'Salary Record'!K435</f>
        <v>36125</v>
      </c>
      <c r="L29" s="26">
        <f>'Salary Record'!G433</f>
        <v>0</v>
      </c>
      <c r="M29" s="26">
        <f>'Salary Record'!G434</f>
        <v>0</v>
      </c>
      <c r="N29" s="20">
        <f>'Salary Record'!G435</f>
        <v>0</v>
      </c>
      <c r="O29" s="26">
        <f>'Salary Record'!G436</f>
        <v>0</v>
      </c>
      <c r="P29" s="20">
        <f>'Salary Record'!G437</f>
        <v>0</v>
      </c>
      <c r="Q29" s="26">
        <f>'Salary Record'!K437</f>
        <v>36125</v>
      </c>
      <c r="R29" s="61"/>
      <c r="S29" s="62"/>
      <c r="T29" s="61"/>
      <c r="U29" s="62"/>
      <c r="V29" s="61"/>
      <c r="W29" s="62"/>
      <c r="X29" s="62"/>
      <c r="Y29" s="62"/>
      <c r="Z29" s="62"/>
    </row>
    <row r="30" spans="1:26" ht="21" x14ac:dyDescent="0.3">
      <c r="A30" s="518" t="s">
        <v>23</v>
      </c>
      <c r="B30" s="503"/>
      <c r="C30" s="36"/>
      <c r="D30" s="36"/>
      <c r="E30" s="37">
        <f>SUM(E26:E29)</f>
        <v>126500</v>
      </c>
      <c r="F30" s="36"/>
      <c r="G30" s="36"/>
      <c r="H30" s="36"/>
      <c r="I30" s="36"/>
      <c r="J30" s="78">
        <f t="shared" ref="J30:K30" si="1">SUM(J26:J29)</f>
        <v>23922.916666666668</v>
      </c>
      <c r="K30" s="78">
        <f t="shared" si="1"/>
        <v>142956.25</v>
      </c>
      <c r="L30" s="36"/>
      <c r="M30" s="36"/>
      <c r="N30" s="36"/>
      <c r="O30" s="36"/>
      <c r="P30" s="36"/>
      <c r="Q30" s="396">
        <f>SUM(Q26:Q29)</f>
        <v>142956.25</v>
      </c>
      <c r="R30" s="39"/>
      <c r="S30" s="41"/>
      <c r="T30" s="41"/>
      <c r="U30" s="40"/>
      <c r="V30" s="40"/>
      <c r="W30" s="40"/>
      <c r="X30" s="40"/>
      <c r="Y30" s="40"/>
      <c r="Z30" s="40"/>
    </row>
    <row r="31" spans="1:26" ht="12.75" customHeigh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3"/>
      <c r="R31" s="41"/>
      <c r="S31" s="41">
        <f>Q30+Q37+Q40+Q41+Q42+Q95+Q79+Q53+Q83+Q84+Q50+Q85</f>
        <v>792841.66666666674</v>
      </c>
      <c r="T31" s="41"/>
      <c r="U31" s="40"/>
      <c r="V31" s="40"/>
      <c r="W31" s="40"/>
      <c r="X31" s="40"/>
      <c r="Y31" s="40"/>
      <c r="Z31" s="40"/>
    </row>
    <row r="32" spans="1:26" ht="21" customHeight="1" x14ac:dyDescent="0.2">
      <c r="A32" s="519" t="s">
        <v>30</v>
      </c>
      <c r="B32" s="50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  <c r="P32" s="502"/>
      <c r="Q32" s="503"/>
      <c r="R32" s="79"/>
      <c r="S32" s="45"/>
      <c r="T32" s="46"/>
      <c r="U32" s="45"/>
      <c r="V32" s="45"/>
      <c r="W32" s="45"/>
      <c r="X32" s="45"/>
      <c r="Y32" s="45"/>
      <c r="Z32" s="45"/>
    </row>
    <row r="33" spans="1:26" ht="14.45" customHeight="1" x14ac:dyDescent="0.2">
      <c r="A33" s="14">
        <v>1</v>
      </c>
      <c r="B33" s="368" t="str">
        <f>'Salary Record'!C520</f>
        <v>Ahsan Razak</v>
      </c>
      <c r="C33" s="30"/>
      <c r="D33" s="31"/>
      <c r="E33" s="19">
        <f>'Salary Record'!K519</f>
        <v>31500</v>
      </c>
      <c r="F33" s="19">
        <f>'Salary Record'!C525</f>
        <v>30</v>
      </c>
      <c r="G33" s="25">
        <f>'Salary Record'!C526</f>
        <v>0</v>
      </c>
      <c r="H33" s="19">
        <f>'Salary Record'!I524</f>
        <v>58</v>
      </c>
      <c r="I33" s="19">
        <f>'Salary Record'!I523</f>
        <v>30</v>
      </c>
      <c r="J33" s="25">
        <f>'Salary Record'!K524</f>
        <v>7612.5</v>
      </c>
      <c r="K33" s="25">
        <f>'Salary Record'!K525</f>
        <v>39112.5</v>
      </c>
      <c r="L33" s="26">
        <f>'Salary Record'!G523</f>
        <v>21000</v>
      </c>
      <c r="M33" s="19">
        <f>'Salary Record'!G524</f>
        <v>0</v>
      </c>
      <c r="N33" s="20">
        <f>'Salary Record'!G525</f>
        <v>21000</v>
      </c>
      <c r="O33" s="19">
        <f>'Salary Record'!G526</f>
        <v>3000</v>
      </c>
      <c r="P33" s="20">
        <f>'Salary Record'!G527</f>
        <v>18000</v>
      </c>
      <c r="Q33" s="26">
        <f>'Salary Record'!K527</f>
        <v>36112.5</v>
      </c>
      <c r="R33" s="22" t="s">
        <v>29</v>
      </c>
      <c r="S33" s="22"/>
      <c r="T33" s="22"/>
      <c r="U33" s="23"/>
      <c r="V33" s="23"/>
      <c r="W33" s="23"/>
      <c r="X33" s="23"/>
      <c r="Y33" s="23"/>
      <c r="Z33" s="23"/>
    </row>
    <row r="34" spans="1:26" ht="14.45" customHeight="1" x14ac:dyDescent="0.2">
      <c r="A34" s="14">
        <v>2</v>
      </c>
      <c r="B34" s="368" t="str">
        <f>'Salary Record'!C490</f>
        <v>Suleman Dilawer</v>
      </c>
      <c r="C34" s="53"/>
      <c r="D34" s="20"/>
      <c r="E34" s="19">
        <f>'Salary Record'!K489</f>
        <v>30000</v>
      </c>
      <c r="F34" s="19">
        <f>'Salary Record'!C495</f>
        <v>30</v>
      </c>
      <c r="G34" s="25">
        <f>'Salary Record'!C496</f>
        <v>0</v>
      </c>
      <c r="H34" s="19">
        <f>'Salary Record'!I494</f>
        <v>77</v>
      </c>
      <c r="I34" s="19">
        <f>'Salary Record'!I493</f>
        <v>30</v>
      </c>
      <c r="J34" s="18">
        <f>'Salary Record'!K494</f>
        <v>9625</v>
      </c>
      <c r="K34" s="18">
        <f>'Salary Record'!K495</f>
        <v>39625</v>
      </c>
      <c r="L34" s="26">
        <f>'Salary Record'!G493</f>
        <v>25000</v>
      </c>
      <c r="M34" s="19">
        <f>'Salary Record'!G494</f>
        <v>0</v>
      </c>
      <c r="N34" s="20">
        <f>'Salary Record'!G495</f>
        <v>25000</v>
      </c>
      <c r="O34" s="19">
        <f>'Salary Record'!G496</f>
        <v>5000</v>
      </c>
      <c r="P34" s="20">
        <f>'Salary Record'!G497</f>
        <v>20000</v>
      </c>
      <c r="Q34" s="26">
        <f>'Salary Record'!K497</f>
        <v>34625</v>
      </c>
      <c r="R34" s="22"/>
      <c r="S34" s="22"/>
      <c r="T34" s="22"/>
      <c r="U34" s="23"/>
      <c r="V34" s="23"/>
      <c r="W34" s="23"/>
      <c r="X34" s="23"/>
      <c r="Y34" s="23"/>
      <c r="Z34" s="23"/>
    </row>
    <row r="35" spans="1:26" ht="14.45" customHeight="1" x14ac:dyDescent="0.2">
      <c r="A35" s="14">
        <v>3</v>
      </c>
      <c r="B35" s="368" t="str">
        <f>'Salary Record'!C505</f>
        <v>Mumtaz Ali Chakar</v>
      </c>
      <c r="C35" s="53"/>
      <c r="D35" s="20"/>
      <c r="E35" s="80">
        <f>'Salary Record'!K504</f>
        <v>42500</v>
      </c>
      <c r="F35" s="80">
        <f>'Salary Record'!C510</f>
        <v>29</v>
      </c>
      <c r="G35" s="18">
        <f>'Salary Record'!C511</f>
        <v>1</v>
      </c>
      <c r="H35" s="80">
        <f>'Salary Record'!I509</f>
        <v>5</v>
      </c>
      <c r="I35" s="80">
        <f>'Salary Record'!I508</f>
        <v>30</v>
      </c>
      <c r="J35" s="18">
        <f>'Salary Record'!K509</f>
        <v>885.41666666666674</v>
      </c>
      <c r="K35" s="19">
        <f>'Salary Record'!K510</f>
        <v>43385.416666666664</v>
      </c>
      <c r="L35" s="26">
        <f>'Salary Record'!G508</f>
        <v>0</v>
      </c>
      <c r="M35" s="19">
        <f>'Salary Record'!G509</f>
        <v>0</v>
      </c>
      <c r="N35" s="20">
        <f>'Salary Record'!G510</f>
        <v>0</v>
      </c>
      <c r="O35" s="19">
        <f>'Salary Record'!G511</f>
        <v>0</v>
      </c>
      <c r="P35" s="20">
        <f>'Salary Record'!G512</f>
        <v>0</v>
      </c>
      <c r="Q35" s="26">
        <f>'Salary Record'!K512</f>
        <v>43385.416666666664</v>
      </c>
      <c r="R35" s="22"/>
      <c r="S35" s="22"/>
      <c r="T35" s="22"/>
      <c r="U35" s="23"/>
      <c r="V35" s="23"/>
      <c r="W35" s="23"/>
      <c r="X35" s="23"/>
      <c r="Y35" s="23"/>
      <c r="Z35" s="23"/>
    </row>
    <row r="36" spans="1:26" ht="14.45" customHeight="1" x14ac:dyDescent="0.25">
      <c r="A36" s="14">
        <v>4</v>
      </c>
      <c r="B36" s="368" t="str">
        <f>'Salary Record'!C535</f>
        <v>Sufyan</v>
      </c>
      <c r="C36" s="81"/>
      <c r="D36" s="82"/>
      <c r="E36" s="83">
        <f>'Salary Record'!K534</f>
        <v>28000</v>
      </c>
      <c r="F36" s="83">
        <f>'Salary Record'!C540</f>
        <v>30</v>
      </c>
      <c r="G36" s="84">
        <f>'Salary Record'!C541</f>
        <v>0</v>
      </c>
      <c r="H36" s="83">
        <f>'Salary Record'!I539</f>
        <v>71</v>
      </c>
      <c r="I36" s="83">
        <f>'Salary Record'!I538</f>
        <v>30</v>
      </c>
      <c r="J36" s="85">
        <f>'Salary Record'!K539</f>
        <v>8283.3333333333339</v>
      </c>
      <c r="K36" s="85">
        <f>'Salary Record'!K540</f>
        <v>36283.333333333336</v>
      </c>
      <c r="L36" s="83">
        <f>'Salary Record'!G538</f>
        <v>37000</v>
      </c>
      <c r="M36" s="83">
        <f>'Salary Record'!G539</f>
        <v>0</v>
      </c>
      <c r="N36" s="86">
        <f>'Salary Record'!G540</f>
        <v>37000</v>
      </c>
      <c r="O36" s="83">
        <f>'Salary Record'!G541</f>
        <v>0</v>
      </c>
      <c r="P36" s="86">
        <f>'Salary Record'!G542</f>
        <v>37000</v>
      </c>
      <c r="Q36" s="87">
        <f>'Salary Record'!K542</f>
        <v>36283.333333333336</v>
      </c>
      <c r="R36" s="88"/>
      <c r="S36" s="22"/>
      <c r="T36" s="13"/>
    </row>
    <row r="37" spans="1:26" ht="21" x14ac:dyDescent="0.3">
      <c r="A37" s="518" t="s">
        <v>23</v>
      </c>
      <c r="B37" s="503"/>
      <c r="C37" s="36"/>
      <c r="D37" s="36"/>
      <c r="E37" s="37">
        <f>SUM(E33:E36)</f>
        <v>132000</v>
      </c>
      <c r="F37" s="36"/>
      <c r="G37" s="36"/>
      <c r="H37" s="36"/>
      <c r="I37" s="36"/>
      <c r="J37" s="37">
        <f t="shared" ref="J37:K37" si="2">SUM(J33:J36)</f>
        <v>26406.25</v>
      </c>
      <c r="K37" s="37">
        <f t="shared" si="2"/>
        <v>158406.25</v>
      </c>
      <c r="L37" s="36"/>
      <c r="M37" s="36"/>
      <c r="N37" s="36"/>
      <c r="O37" s="36"/>
      <c r="P37" s="36"/>
      <c r="Q37" s="38">
        <f>SUM(Q33:Q36)</f>
        <v>150406.25</v>
      </c>
      <c r="R37" s="39"/>
      <c r="S37" s="41"/>
      <c r="T37" s="41"/>
      <c r="U37" s="40"/>
      <c r="V37" s="40"/>
      <c r="W37" s="40"/>
      <c r="X37" s="40"/>
      <c r="Y37" s="40"/>
      <c r="Z37" s="40"/>
    </row>
    <row r="38" spans="1:26" ht="12.75" customHeight="1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3"/>
      <c r="R38" s="41"/>
      <c r="S38" s="40"/>
      <c r="T38" s="41"/>
      <c r="U38" s="40"/>
      <c r="V38" s="40"/>
      <c r="W38" s="40"/>
      <c r="X38" s="40"/>
      <c r="Y38" s="40"/>
      <c r="Z38" s="40"/>
    </row>
    <row r="39" spans="1:26" ht="21" customHeight="1" x14ac:dyDescent="0.2">
      <c r="A39" s="523" t="s">
        <v>31</v>
      </c>
      <c r="B39" s="502"/>
      <c r="C39" s="502"/>
      <c r="D39" s="502"/>
      <c r="E39" s="502"/>
      <c r="F39" s="502"/>
      <c r="G39" s="502"/>
      <c r="H39" s="502"/>
      <c r="I39" s="502"/>
      <c r="J39" s="502"/>
      <c r="K39" s="502"/>
      <c r="L39" s="502"/>
      <c r="M39" s="502"/>
      <c r="N39" s="502"/>
      <c r="O39" s="502"/>
      <c r="P39" s="502"/>
      <c r="Q39" s="503"/>
      <c r="R39" s="89"/>
      <c r="S39" s="90">
        <f>Q40+Q43+Q44+Q45+Q85</f>
        <v>230770.83333333331</v>
      </c>
      <c r="T39" s="90"/>
      <c r="U39" s="91"/>
      <c r="V39" s="91"/>
      <c r="W39" s="91"/>
      <c r="X39" s="91"/>
      <c r="Y39" s="91"/>
      <c r="Z39" s="91"/>
    </row>
    <row r="40" spans="1:26" s="276" customFormat="1" ht="16.149999999999999" customHeight="1" x14ac:dyDescent="0.2">
      <c r="A40" s="301">
        <v>1</v>
      </c>
      <c r="B40" s="264" t="s">
        <v>32</v>
      </c>
      <c r="C40" s="358"/>
      <c r="D40" s="351"/>
      <c r="E40" s="305">
        <f>'Salary Record'!K159</f>
        <v>70000</v>
      </c>
      <c r="F40" s="305">
        <f>'Salary Record'!C165</f>
        <v>29</v>
      </c>
      <c r="G40" s="305">
        <f>'Salary Record'!C166</f>
        <v>1</v>
      </c>
      <c r="H40" s="305">
        <f>'Salary Record'!I164</f>
        <v>54</v>
      </c>
      <c r="I40" s="305">
        <f>'Salary Record'!I163</f>
        <v>30</v>
      </c>
      <c r="J40" s="321">
        <f>'Salary Record'!K164</f>
        <v>15750.000000000002</v>
      </c>
      <c r="K40" s="309">
        <f>'Salary Record'!K165</f>
        <v>85750</v>
      </c>
      <c r="L40" s="306">
        <f>'Salary Record'!G163</f>
        <v>8200</v>
      </c>
      <c r="M40" s="310">
        <f>'Salary Record'!G164</f>
        <v>0</v>
      </c>
      <c r="N40" s="308">
        <f>'Salary Record'!G165</f>
        <v>8200</v>
      </c>
      <c r="O40" s="310">
        <f>'Salary Record'!G166</f>
        <v>5000</v>
      </c>
      <c r="P40" s="308">
        <f>'Salary Record'!G167</f>
        <v>3200</v>
      </c>
      <c r="Q40" s="494">
        <f>'Salary Record'!K167</f>
        <v>80750</v>
      </c>
      <c r="R40" s="331" t="s">
        <v>33</v>
      </c>
      <c r="S40" s="331"/>
      <c r="T40" s="331"/>
      <c r="U40" s="331"/>
      <c r="V40" s="332"/>
      <c r="W40" s="332"/>
      <c r="X40" s="332"/>
      <c r="Y40" s="332"/>
      <c r="Z40" s="332"/>
    </row>
    <row r="41" spans="1:26" s="276" customFormat="1" ht="16.149999999999999" customHeight="1" x14ac:dyDescent="0.2">
      <c r="A41" s="301">
        <v>2</v>
      </c>
      <c r="B41" s="264" t="s">
        <v>37</v>
      </c>
      <c r="C41" s="347"/>
      <c r="D41" s="348"/>
      <c r="E41" s="305">
        <f>'Salary Record'!K564</f>
        <v>40000</v>
      </c>
      <c r="F41" s="305">
        <f>'Salary Record'!C570</f>
        <v>30</v>
      </c>
      <c r="G41" s="305">
        <f>'Salary Record'!C571</f>
        <v>0</v>
      </c>
      <c r="H41" s="305">
        <f>'Salary Record'!I569</f>
        <v>124</v>
      </c>
      <c r="I41" s="305">
        <f>'Salary Record'!I568</f>
        <v>30</v>
      </c>
      <c r="J41" s="321">
        <f>'Salary Record'!K569</f>
        <v>20666.666666666664</v>
      </c>
      <c r="K41" s="310">
        <f>'Salary Record'!K570</f>
        <v>60666.666666666664</v>
      </c>
      <c r="L41" s="306">
        <f>'Salary Record'!G568</f>
        <v>25000</v>
      </c>
      <c r="M41" s="310">
        <f>'Salary Record'!G569</f>
        <v>0</v>
      </c>
      <c r="N41" s="308">
        <f>'Salary Record'!G570</f>
        <v>25000</v>
      </c>
      <c r="O41" s="310">
        <f>'Salary Record'!G571</f>
        <v>5000</v>
      </c>
      <c r="P41" s="308">
        <f>'Salary Record'!G572</f>
        <v>20000</v>
      </c>
      <c r="Q41" s="306">
        <f>'Salary Record'!K572</f>
        <v>55666.666666666664</v>
      </c>
      <c r="R41" s="331" t="s">
        <v>38</v>
      </c>
      <c r="S41" s="332" t="s">
        <v>39</v>
      </c>
      <c r="T41" s="331"/>
      <c r="U41" s="331"/>
      <c r="V41" s="331"/>
      <c r="W41" s="332"/>
      <c r="X41" s="332"/>
      <c r="Y41" s="332"/>
      <c r="Z41" s="332"/>
    </row>
    <row r="42" spans="1:26" ht="16.149999999999999" customHeight="1" x14ac:dyDescent="0.2">
      <c r="A42" s="301">
        <v>3</v>
      </c>
      <c r="B42" s="264" t="str">
        <f>'Salary Record'!C175</f>
        <v>Amjad Ustad</v>
      </c>
      <c r="C42" s="53"/>
      <c r="D42" s="20"/>
      <c r="E42" s="69">
        <f>'Salary Record'!K174</f>
        <v>55000</v>
      </c>
      <c r="F42" s="26">
        <f>'Salary Record'!C180</f>
        <v>30</v>
      </c>
      <c r="G42" s="54">
        <f>'Salary Record'!C181</f>
        <v>0</v>
      </c>
      <c r="H42" s="26">
        <f>'Salary Record'!I179</f>
        <v>4</v>
      </c>
      <c r="I42" s="26">
        <f>'Salary Record'!I178</f>
        <v>30</v>
      </c>
      <c r="J42" s="18">
        <f>'Salary Record'!K179</f>
        <v>916.66666666666663</v>
      </c>
      <c r="K42" s="18">
        <f>'Salary Record'!K180</f>
        <v>55916.666666666664</v>
      </c>
      <c r="L42" s="26">
        <f>'Salary Record'!G178</f>
        <v>98000</v>
      </c>
      <c r="M42" s="26">
        <f>'Salary Record'!G179</f>
        <v>0</v>
      </c>
      <c r="N42" s="20">
        <f>'Salary Record'!G180</f>
        <v>98000</v>
      </c>
      <c r="O42" s="26">
        <f>'Salary Record'!G181</f>
        <v>5000</v>
      </c>
      <c r="P42" s="20">
        <f>'Salary Record'!G182</f>
        <v>93000</v>
      </c>
      <c r="Q42" s="26">
        <f>'Salary Record'!K182</f>
        <v>50916.666666666664</v>
      </c>
      <c r="R42" s="22" t="s">
        <v>40</v>
      </c>
      <c r="S42" s="22"/>
      <c r="T42" s="22"/>
      <c r="U42" s="22"/>
      <c r="V42" s="23"/>
      <c r="W42" s="23"/>
      <c r="X42" s="23"/>
      <c r="Y42" s="23"/>
      <c r="Z42" s="23"/>
    </row>
    <row r="43" spans="1:26" ht="16.149999999999999" customHeight="1" x14ac:dyDescent="0.2">
      <c r="A43" s="301">
        <v>4</v>
      </c>
      <c r="B43" s="264" t="str">
        <f>'Salary Record'!C611</f>
        <v>Nadeem Painter</v>
      </c>
      <c r="C43" s="93"/>
      <c r="D43" s="94"/>
      <c r="E43" s="95">
        <f>'Salary Record'!K610</f>
        <v>35000</v>
      </c>
      <c r="F43" s="95">
        <f>'Salary Record'!C616</f>
        <v>30</v>
      </c>
      <c r="G43" s="25">
        <f>'Salary Record'!C617</f>
        <v>0</v>
      </c>
      <c r="H43" s="95">
        <f>'Salary Record'!I615</f>
        <v>6</v>
      </c>
      <c r="I43" s="95">
        <f>'Salary Record'!I614</f>
        <v>30</v>
      </c>
      <c r="J43" s="18">
        <f>'Salary Record'!K615</f>
        <v>875</v>
      </c>
      <c r="K43" s="18">
        <f>'Salary Record'!K616</f>
        <v>35875</v>
      </c>
      <c r="L43" s="26">
        <f>'Salary Record'!G614</f>
        <v>0</v>
      </c>
      <c r="M43" s="19">
        <f>'Salary Record'!G615</f>
        <v>0</v>
      </c>
      <c r="N43" s="20" t="str">
        <f>'Salary Record'!G616</f>
        <v/>
      </c>
      <c r="O43" s="19">
        <f>'Salary Record'!G617</f>
        <v>0</v>
      </c>
      <c r="P43" s="20" t="str">
        <f>'Salary Record'!G618</f>
        <v/>
      </c>
      <c r="Q43" s="330">
        <f>'Salary Record'!K618</f>
        <v>35875</v>
      </c>
      <c r="R43" s="22"/>
      <c r="S43" s="23"/>
      <c r="T43" s="22"/>
      <c r="U43" s="22"/>
      <c r="V43" s="23"/>
      <c r="W43" s="23"/>
      <c r="X43" s="23"/>
      <c r="Y43" s="23"/>
      <c r="Z43" s="23"/>
    </row>
    <row r="44" spans="1:26" s="276" customFormat="1" ht="16.149999999999999" customHeight="1" x14ac:dyDescent="0.2">
      <c r="A44" s="301">
        <v>5</v>
      </c>
      <c r="B44" s="264" t="str">
        <f>'Salary Record'!C642</f>
        <v>Khushnood</v>
      </c>
      <c r="C44" s="353"/>
      <c r="D44" s="354"/>
      <c r="E44" s="304">
        <f>'Salary Record'!K641</f>
        <v>50000</v>
      </c>
      <c r="F44" s="310">
        <f>'Salary Record'!C647</f>
        <v>22</v>
      </c>
      <c r="G44" s="305">
        <f>'Salary Record'!C648</f>
        <v>8</v>
      </c>
      <c r="H44" s="310">
        <f>'Salary Record'!I646</f>
        <v>4.0999999999999996</v>
      </c>
      <c r="I44" s="310">
        <f>'Salary Record'!I645</f>
        <v>30</v>
      </c>
      <c r="J44" s="305">
        <f>'Salary Record'!K646</f>
        <v>854.16666666666663</v>
      </c>
      <c r="K44" s="305">
        <f>'Salary Record'!K647</f>
        <v>50854.166666666664</v>
      </c>
      <c r="L44" s="306">
        <f>'Salary Record'!G645</f>
        <v>35500</v>
      </c>
      <c r="M44" s="310">
        <f>'Salary Record'!G646</f>
        <v>15000</v>
      </c>
      <c r="N44" s="308">
        <f>'Salary Record'!G647</f>
        <v>50500</v>
      </c>
      <c r="O44" s="310">
        <f>'Salary Record'!G648</f>
        <v>5000</v>
      </c>
      <c r="P44" s="308">
        <f>'Salary Record'!G649</f>
        <v>45500</v>
      </c>
      <c r="Q44" s="306">
        <f>'Salary Record'!K649</f>
        <v>45854.166666666664</v>
      </c>
      <c r="R44" s="331"/>
      <c r="S44" s="331"/>
      <c r="T44" s="331"/>
      <c r="U44" s="331"/>
      <c r="V44" s="332"/>
      <c r="W44" s="332"/>
      <c r="X44" s="332"/>
      <c r="Y44" s="332"/>
      <c r="Z44" s="332"/>
    </row>
    <row r="45" spans="1:26" ht="16.149999999999999" customHeight="1" x14ac:dyDescent="0.25">
      <c r="A45" s="301">
        <v>6</v>
      </c>
      <c r="B45" s="264" t="str">
        <f>'Salary Record'!C190</f>
        <v>Fahad Fareed</v>
      </c>
      <c r="C45" s="96"/>
      <c r="D45" s="97"/>
      <c r="E45" s="83">
        <f>'Salary Record'!K189</f>
        <v>25000</v>
      </c>
      <c r="F45" s="83">
        <f>'Salary Record'!C195</f>
        <v>28</v>
      </c>
      <c r="G45" s="84">
        <f>'Salary Record'!C196</f>
        <v>2</v>
      </c>
      <c r="H45" s="83">
        <f>'Salary Record'!I194</f>
        <v>61</v>
      </c>
      <c r="I45" s="83">
        <f>'Salary Record'!I193</f>
        <v>28</v>
      </c>
      <c r="J45" s="98">
        <f>'Salary Record'!K194</f>
        <v>6354.166666666667</v>
      </c>
      <c r="K45" s="98">
        <f>'Salary Record'!K195</f>
        <v>29687.500000000004</v>
      </c>
      <c r="L45" s="99">
        <f>'Salary Record'!G193</f>
        <v>0</v>
      </c>
      <c r="M45" s="99">
        <f>'Salary Record'!G194</f>
        <v>0</v>
      </c>
      <c r="N45" s="100">
        <f>'Salary Record'!G195</f>
        <v>0</v>
      </c>
      <c r="O45" s="99">
        <f>'Salary Record'!G196</f>
        <v>0</v>
      </c>
      <c r="P45" s="100">
        <f>'Salary Record'!G197</f>
        <v>0</v>
      </c>
      <c r="Q45" s="99">
        <f>'Salary Record'!K197</f>
        <v>29687.500000000004</v>
      </c>
      <c r="R45" s="88"/>
      <c r="S45" s="13"/>
      <c r="T45" s="13"/>
      <c r="U45" s="13"/>
      <c r="V45" s="13"/>
      <c r="W45" s="13"/>
      <c r="X45" s="13"/>
    </row>
    <row r="46" spans="1:26" s="276" customFormat="1" ht="16.149999999999999" customHeight="1" x14ac:dyDescent="0.2">
      <c r="A46" s="301">
        <v>7</v>
      </c>
      <c r="B46" s="264" t="str">
        <f>'Salary Record'!C234</f>
        <v>Gul Sher</v>
      </c>
      <c r="C46" s="355"/>
      <c r="D46" s="354"/>
      <c r="E46" s="306">
        <f>'Salary Record'!K233</f>
        <v>30000</v>
      </c>
      <c r="F46" s="306">
        <f>'Salary Record'!C239</f>
        <v>29</v>
      </c>
      <c r="G46" s="349">
        <f>'Salary Record'!C240</f>
        <v>1</v>
      </c>
      <c r="H46" s="306">
        <f>'Salary Record'!I238</f>
        <v>40</v>
      </c>
      <c r="I46" s="306">
        <f>'Salary Record'!I237</f>
        <v>29</v>
      </c>
      <c r="J46" s="356">
        <f>'Salary Record'!K238</f>
        <v>5000</v>
      </c>
      <c r="K46" s="356">
        <f>'Salary Record'!K239</f>
        <v>34000</v>
      </c>
      <c r="L46" s="345">
        <f>'Salary Record'!G237</f>
        <v>19225</v>
      </c>
      <c r="M46" s="345">
        <f>'Salary Record'!G238</f>
        <v>21000</v>
      </c>
      <c r="N46" s="357">
        <f>'Salary Record'!G239</f>
        <v>40225</v>
      </c>
      <c r="O46" s="345">
        <f>'Salary Record'!G240</f>
        <v>5000</v>
      </c>
      <c r="P46" s="357">
        <f>'Salary Record'!G241</f>
        <v>35225</v>
      </c>
      <c r="Q46" s="345">
        <f>'Salary Record'!K241</f>
        <v>29000</v>
      </c>
      <c r="R46" s="331" t="s">
        <v>41</v>
      </c>
      <c r="S46" s="331" t="s">
        <v>42</v>
      </c>
      <c r="T46" s="331"/>
      <c r="U46" s="331"/>
      <c r="V46" s="331"/>
      <c r="W46" s="331"/>
      <c r="X46" s="331"/>
      <c r="Y46" s="332"/>
      <c r="Z46" s="332"/>
    </row>
    <row r="47" spans="1:26" ht="21" x14ac:dyDescent="0.3">
      <c r="A47" s="518" t="s">
        <v>23</v>
      </c>
      <c r="B47" s="503"/>
      <c r="C47" s="36"/>
      <c r="D47" s="36"/>
      <c r="E47" s="37">
        <f>SUM(E40:E46)</f>
        <v>305000</v>
      </c>
      <c r="F47" s="36"/>
      <c r="G47" s="36"/>
      <c r="H47" s="36"/>
      <c r="I47" s="36"/>
      <c r="J47" s="37">
        <f>SUM(J40:J46)</f>
        <v>50416.666666666657</v>
      </c>
      <c r="K47" s="37">
        <f>SUM(K40:K46)</f>
        <v>352750</v>
      </c>
      <c r="L47" s="36"/>
      <c r="M47" s="36"/>
      <c r="N47" s="36"/>
      <c r="O47" s="36"/>
      <c r="P47" s="36"/>
      <c r="Q47" s="38">
        <f>SUM(Q40:Q46)</f>
        <v>327750</v>
      </c>
      <c r="R47" s="39"/>
      <c r="S47" s="40"/>
      <c r="T47" s="41"/>
      <c r="U47" s="40"/>
      <c r="V47" s="40"/>
      <c r="W47" s="40"/>
      <c r="X47" s="40"/>
      <c r="Y47" s="40"/>
      <c r="Z47" s="40"/>
    </row>
    <row r="48" spans="1:26" ht="21" customHeight="1" x14ac:dyDescent="0.2">
      <c r="A48" s="517" t="s">
        <v>43</v>
      </c>
      <c r="B48" s="502"/>
      <c r="C48" s="502"/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N48" s="502"/>
      <c r="O48" s="502"/>
      <c r="P48" s="502"/>
      <c r="Q48" s="503"/>
      <c r="R48" s="101"/>
      <c r="S48" s="57"/>
      <c r="T48" s="57"/>
      <c r="U48" s="58"/>
      <c r="V48" s="58"/>
      <c r="W48" s="58"/>
      <c r="X48" s="58"/>
      <c r="Y48" s="58"/>
      <c r="Z48" s="58"/>
    </row>
    <row r="49" spans="1:26" s="276" customFormat="1" ht="15" customHeight="1" x14ac:dyDescent="0.2">
      <c r="A49" s="301">
        <v>1</v>
      </c>
      <c r="B49" s="264" t="s">
        <v>44</v>
      </c>
      <c r="C49" s="333"/>
      <c r="D49" s="334"/>
      <c r="E49" s="310">
        <f>'Salary Record'!K368</f>
        <v>27000</v>
      </c>
      <c r="F49" s="310">
        <f>'Salary Record'!C374</f>
        <v>28</v>
      </c>
      <c r="G49" s="305">
        <f>'Salary Record'!C375</f>
        <v>2</v>
      </c>
      <c r="H49" s="310">
        <f>'Salary Record'!I373</f>
        <v>2</v>
      </c>
      <c r="I49" s="310">
        <f>'Salary Record'!I372</f>
        <v>30</v>
      </c>
      <c r="J49" s="309">
        <f>'Salary Record'!K373</f>
        <v>225</v>
      </c>
      <c r="K49" s="309">
        <f>'Salary Record'!K374</f>
        <v>27225</v>
      </c>
      <c r="L49" s="306">
        <f>'Salary Record'!G372</f>
        <v>19000</v>
      </c>
      <c r="M49" s="310">
        <f>'Salary Record'!G373</f>
        <v>0</v>
      </c>
      <c r="N49" s="308">
        <f>'Salary Record'!G374</f>
        <v>19000</v>
      </c>
      <c r="O49" s="310">
        <f>'Salary Record'!G375</f>
        <v>2000</v>
      </c>
      <c r="P49" s="308">
        <f>'Salary Record'!G376</f>
        <v>17000</v>
      </c>
      <c r="Q49" s="306">
        <f>'Salary Record'!K376</f>
        <v>25225</v>
      </c>
      <c r="R49" s="331"/>
      <c r="S49" s="331"/>
      <c r="T49" s="331"/>
      <c r="U49" s="331"/>
      <c r="V49" s="332"/>
      <c r="W49" s="332"/>
      <c r="X49" s="332"/>
      <c r="Y49" s="332"/>
      <c r="Z49" s="332"/>
    </row>
    <row r="50" spans="1:26" s="276" customFormat="1" ht="15" customHeight="1" x14ac:dyDescent="0.25">
      <c r="A50" s="301">
        <v>2</v>
      </c>
      <c r="B50" s="264" t="str">
        <f>'Salary Record'!C721</f>
        <v>Adeel</v>
      </c>
      <c r="C50" s="335"/>
      <c r="D50" s="336"/>
      <c r="E50" s="337">
        <f>'Salary Record'!K720</f>
        <v>32500</v>
      </c>
      <c r="F50" s="337">
        <f>'Salary Record'!C726</f>
        <v>30</v>
      </c>
      <c r="G50" s="338">
        <f>'Salary Record'!C727</f>
        <v>0</v>
      </c>
      <c r="H50" s="337">
        <f>'Salary Record'!I725</f>
        <v>64</v>
      </c>
      <c r="I50" s="337">
        <f>'Salary Record'!I724</f>
        <v>30</v>
      </c>
      <c r="J50" s="339">
        <f>'Salary Record'!K725</f>
        <v>8666.6666666666661</v>
      </c>
      <c r="K50" s="340">
        <f>'Salary Record'!K726</f>
        <v>41166.666666666664</v>
      </c>
      <c r="L50" s="337">
        <f>'Salary Record'!G724</f>
        <v>11000</v>
      </c>
      <c r="M50" s="337">
        <f>'Salary Record'!G725</f>
        <v>0</v>
      </c>
      <c r="N50" s="341">
        <f>'Salary Record'!G726</f>
        <v>11000</v>
      </c>
      <c r="O50" s="337">
        <f>'Salary Record'!G727</f>
        <v>3000</v>
      </c>
      <c r="P50" s="341">
        <f>'Salary Record'!G728</f>
        <v>8000</v>
      </c>
      <c r="Q50" s="306">
        <f>'Salary Record'!K728</f>
        <v>38166.666666666664</v>
      </c>
      <c r="R50" s="342">
        <f>Q42+Q44</f>
        <v>96770.833333333328</v>
      </c>
      <c r="T50" s="343"/>
    </row>
    <row r="51" spans="1:26" s="276" customFormat="1" ht="15" customHeight="1" x14ac:dyDescent="0.2">
      <c r="A51" s="301">
        <v>3</v>
      </c>
      <c r="B51" s="264" t="str">
        <f>'Salary Record'!C339</f>
        <v>M. Sami</v>
      </c>
      <c r="C51" s="344" t="s">
        <v>45</v>
      </c>
      <c r="D51" s="320">
        <f>Q51</f>
        <v>41406.25</v>
      </c>
      <c r="E51" s="310">
        <f>'Salary Record'!K338</f>
        <v>37500</v>
      </c>
      <c r="F51" s="310">
        <f>'Salary Record'!C344</f>
        <v>27</v>
      </c>
      <c r="G51" s="305">
        <f>'Salary Record'!C345</f>
        <v>3</v>
      </c>
      <c r="H51" s="310">
        <f>'Salary Record'!I343</f>
        <v>25</v>
      </c>
      <c r="I51" s="310">
        <f>'Salary Record'!I342</f>
        <v>30</v>
      </c>
      <c r="J51" s="309">
        <f>'Salary Record'!K343</f>
        <v>3906.25</v>
      </c>
      <c r="K51" s="309">
        <f>'Salary Record'!K344</f>
        <v>41406.25</v>
      </c>
      <c r="L51" s="306">
        <f>'Salary Record'!G342</f>
        <v>0</v>
      </c>
      <c r="M51" s="345">
        <f>'Salary Record'!G343</f>
        <v>0</v>
      </c>
      <c r="N51" s="346" t="str">
        <f>'Salary Record'!G344</f>
        <v/>
      </c>
      <c r="O51" s="345">
        <f>'Salary Record'!G345</f>
        <v>0</v>
      </c>
      <c r="P51" s="346" t="str">
        <f>'Salary Record'!G346</f>
        <v/>
      </c>
      <c r="Q51" s="345">
        <f>'Salary Record'!K346</f>
        <v>41406.25</v>
      </c>
      <c r="R51" s="331"/>
      <c r="S51" s="331"/>
      <c r="T51" s="331"/>
      <c r="U51" s="331"/>
      <c r="V51" s="331"/>
      <c r="W51" s="332"/>
      <c r="X51" s="332"/>
      <c r="Y51" s="332"/>
      <c r="Z51" s="332"/>
    </row>
    <row r="52" spans="1:26" s="276" customFormat="1" ht="15" customHeight="1" x14ac:dyDescent="0.2">
      <c r="A52" s="301">
        <v>4</v>
      </c>
      <c r="B52" s="264" t="str">
        <f>'Salary Record'!C354</f>
        <v>Adil (FTC)</v>
      </c>
      <c r="C52" s="319"/>
      <c r="D52" s="320"/>
      <c r="E52" s="310">
        <f>'Salary Record'!K353</f>
        <v>30000</v>
      </c>
      <c r="F52" s="310">
        <f>'Salary Record'!C359</f>
        <v>30</v>
      </c>
      <c r="G52" s="305">
        <f>'Salary Record'!C360</f>
        <v>0</v>
      </c>
      <c r="H52" s="310">
        <f>'Salary Record'!I358</f>
        <v>11</v>
      </c>
      <c r="I52" s="310">
        <f>'Salary Record'!I357</f>
        <v>30</v>
      </c>
      <c r="J52" s="309">
        <f>'Salary Record'!K358</f>
        <v>1375</v>
      </c>
      <c r="K52" s="309">
        <f>'Salary Record'!K359</f>
        <v>31375</v>
      </c>
      <c r="L52" s="306">
        <f>'Salary Record'!G357</f>
        <v>12000</v>
      </c>
      <c r="M52" s="310">
        <f>'Salary Record'!G358</f>
        <v>0</v>
      </c>
      <c r="N52" s="308">
        <f>'Salary Record'!G359</f>
        <v>12000</v>
      </c>
      <c r="O52" s="310">
        <f>'Salary Record'!G360</f>
        <v>0</v>
      </c>
      <c r="P52" s="308">
        <f>'Salary Record'!G361</f>
        <v>12000</v>
      </c>
      <c r="Q52" s="306">
        <f>'Salary Record'!K361</f>
        <v>31375</v>
      </c>
      <c r="R52" s="331" t="s">
        <v>46</v>
      </c>
      <c r="S52" s="331"/>
      <c r="T52" s="331"/>
      <c r="U52" s="332"/>
      <c r="V52" s="332"/>
      <c r="W52" s="332"/>
      <c r="X52" s="332"/>
      <c r="Y52" s="332"/>
      <c r="Z52" s="332"/>
    </row>
    <row r="53" spans="1:26" s="276" customFormat="1" ht="15" customHeight="1" x14ac:dyDescent="0.2">
      <c r="A53" s="301">
        <v>5</v>
      </c>
      <c r="B53" s="302" t="str">
        <f>'Salary Record'!C751</f>
        <v>Muhammad Shehzad (42201-9791630-5)</v>
      </c>
      <c r="C53" s="328"/>
      <c r="D53" s="329"/>
      <c r="E53" s="310">
        <f>'Salary Record'!K750</f>
        <v>37000</v>
      </c>
      <c r="F53" s="310">
        <f>'Salary Record'!C756</f>
        <v>30</v>
      </c>
      <c r="G53" s="305">
        <f>'Salary Record'!C757</f>
        <v>0</v>
      </c>
      <c r="H53" s="310">
        <f>'Salary Record'!I755</f>
        <v>2</v>
      </c>
      <c r="I53" s="310">
        <f>'Salary Record'!I754</f>
        <v>30</v>
      </c>
      <c r="J53" s="309">
        <f>'Salary Record'!K755</f>
        <v>308.33333333333331</v>
      </c>
      <c r="K53" s="309">
        <f>'Salary Record'!K756</f>
        <v>37308.333333333336</v>
      </c>
      <c r="L53" s="306" t="str">
        <f>'Salary Record'!G754</f>
        <v/>
      </c>
      <c r="M53" s="310">
        <f>'Salary Record'!G755</f>
        <v>0</v>
      </c>
      <c r="N53" s="308" t="str">
        <f>'Salary Record'!G756</f>
        <v/>
      </c>
      <c r="O53" s="310">
        <f>'Salary Record'!G757</f>
        <v>0</v>
      </c>
      <c r="P53" s="308" t="str">
        <f>'Salary Record'!G758</f>
        <v/>
      </c>
      <c r="Q53" s="306">
        <f>'Salary Record'!K758</f>
        <v>37308.333333333336</v>
      </c>
      <c r="R53" s="331"/>
      <c r="S53" s="331"/>
      <c r="T53" s="331">
        <f>Q97+Q86+28000</f>
        <v>95333.333333333343</v>
      </c>
      <c r="U53" s="332"/>
      <c r="V53" s="332"/>
      <c r="W53" s="332"/>
      <c r="X53" s="332"/>
      <c r="Y53" s="332"/>
      <c r="Z53" s="332"/>
    </row>
    <row r="54" spans="1:26" s="276" customFormat="1" ht="15" customHeight="1" x14ac:dyDescent="0.2">
      <c r="A54" s="301">
        <v>6</v>
      </c>
      <c r="B54" s="368" t="str">
        <f>'Salary Record'!C384</f>
        <v>Zeeshan</v>
      </c>
      <c r="C54" s="347"/>
      <c r="D54" s="348"/>
      <c r="E54" s="306">
        <f>'Salary Record'!K383</f>
        <v>27000</v>
      </c>
      <c r="F54" s="310">
        <f>'Salary Record'!C389</f>
        <v>30</v>
      </c>
      <c r="G54" s="349">
        <f>'Salary Record'!C390</f>
        <v>0</v>
      </c>
      <c r="H54" s="306">
        <f>'Salary Record'!I388</f>
        <v>0</v>
      </c>
      <c r="I54" s="306">
        <f>'Salary Record'!I387</f>
        <v>30</v>
      </c>
      <c r="J54" s="309">
        <f>'Salary Record'!K388</f>
        <v>0</v>
      </c>
      <c r="K54" s="310">
        <f>'Salary Record'!K389</f>
        <v>27000</v>
      </c>
      <c r="L54" s="306" t="str">
        <f>'Salary Record'!G387</f>
        <v/>
      </c>
      <c r="M54" s="306">
        <f>'Salary Record'!G388</f>
        <v>0</v>
      </c>
      <c r="N54" s="308" t="str">
        <f>'Salary Record'!G389</f>
        <v/>
      </c>
      <c r="O54" s="306">
        <f>'Salary Record'!G390</f>
        <v>0</v>
      </c>
      <c r="P54" s="308" t="str">
        <f>'Salary Record'!G391</f>
        <v/>
      </c>
      <c r="Q54" s="306">
        <f>'Salary Record'!K391</f>
        <v>27000</v>
      </c>
      <c r="R54" s="331"/>
      <c r="S54" s="331"/>
      <c r="T54" s="331"/>
      <c r="U54" s="332"/>
      <c r="V54" s="332"/>
      <c r="W54" s="332"/>
      <c r="X54" s="332"/>
      <c r="Y54" s="332"/>
      <c r="Z54" s="332"/>
    </row>
    <row r="55" spans="1:26" s="276" customFormat="1" ht="15" customHeight="1" x14ac:dyDescent="0.2">
      <c r="A55" s="301">
        <v>7</v>
      </c>
      <c r="B55" s="264" t="str">
        <f>'Salary Record'!C324</f>
        <v>M. Shafeeq</v>
      </c>
      <c r="C55" s="350"/>
      <c r="D55" s="351"/>
      <c r="E55" s="310">
        <f>'Salary Record'!K323</f>
        <v>27000</v>
      </c>
      <c r="F55" s="310">
        <f>'Salary Record'!C329</f>
        <v>30</v>
      </c>
      <c r="G55" s="305">
        <f>'Salary Record'!C330</f>
        <v>0</v>
      </c>
      <c r="H55" s="310">
        <f>'Salary Record'!I328</f>
        <v>9</v>
      </c>
      <c r="I55" s="310">
        <f>'Salary Record'!I327</f>
        <v>30</v>
      </c>
      <c r="J55" s="305">
        <f>'Salary Record'!K328</f>
        <v>1012.5</v>
      </c>
      <c r="K55" s="305">
        <f>'Salary Record'!K329</f>
        <v>28012.5</v>
      </c>
      <c r="L55" s="306">
        <f>'Salary Record'!G327</f>
        <v>0</v>
      </c>
      <c r="M55" s="310">
        <f>'Salary Record'!G328</f>
        <v>0</v>
      </c>
      <c r="N55" s="308">
        <f>'Salary Record'!G329</f>
        <v>0</v>
      </c>
      <c r="O55" s="310">
        <f>'Salary Record'!G330</f>
        <v>0</v>
      </c>
      <c r="P55" s="308">
        <f>'Salary Record'!G331</f>
        <v>0</v>
      </c>
      <c r="Q55" s="306">
        <f>'Salary Record'!K331</f>
        <v>28012.5</v>
      </c>
      <c r="R55" s="331" t="s">
        <v>47</v>
      </c>
      <c r="S55" s="352" t="e">
        <f>#REF!+Q52+Q51+Q49</f>
        <v>#REF!</v>
      </c>
      <c r="T55" s="331"/>
      <c r="U55" s="332"/>
      <c r="V55" s="332"/>
      <c r="W55" s="332"/>
      <c r="X55" s="332"/>
      <c r="Y55" s="332"/>
      <c r="Z55" s="332"/>
    </row>
    <row r="56" spans="1:26" ht="21" x14ac:dyDescent="0.3">
      <c r="A56" s="518" t="s">
        <v>23</v>
      </c>
      <c r="B56" s="503"/>
      <c r="C56" s="36"/>
      <c r="D56" s="36"/>
      <c r="E56" s="37">
        <f>SUM(E49:E55)</f>
        <v>218000</v>
      </c>
      <c r="F56" s="36"/>
      <c r="G56" s="36"/>
      <c r="H56" s="36"/>
      <c r="I56" s="36"/>
      <c r="J56" s="37">
        <f t="shared" ref="J56:K56" si="3">SUM(J49:J55)</f>
        <v>15493.75</v>
      </c>
      <c r="K56" s="37">
        <f t="shared" si="3"/>
        <v>233493.75</v>
      </c>
      <c r="L56" s="36"/>
      <c r="M56" s="36"/>
      <c r="N56" s="36"/>
      <c r="O56" s="36"/>
      <c r="P56" s="36"/>
      <c r="Q56" s="38">
        <f>SUM(Q49:Q55)</f>
        <v>228493.75</v>
      </c>
      <c r="R56" s="39">
        <f>Q56-Q55</f>
        <v>200481.25</v>
      </c>
      <c r="S56" s="40"/>
      <c r="T56" s="41"/>
      <c r="U56" s="40"/>
      <c r="V56" s="40"/>
      <c r="W56" s="40"/>
      <c r="X56" s="40"/>
      <c r="Y56" s="40"/>
      <c r="Z56" s="40"/>
    </row>
    <row r="57" spans="1:26" ht="12.75" customHeight="1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3"/>
      <c r="R57" s="41"/>
      <c r="S57" s="40"/>
      <c r="T57" s="41"/>
      <c r="U57" s="40"/>
      <c r="V57" s="40"/>
      <c r="W57" s="40"/>
      <c r="X57" s="40"/>
      <c r="Y57" s="40"/>
      <c r="Z57" s="40"/>
    </row>
    <row r="58" spans="1:26" ht="21" customHeight="1" x14ac:dyDescent="0.2">
      <c r="A58" s="517" t="s">
        <v>48</v>
      </c>
      <c r="B58" s="502"/>
      <c r="C58" s="502"/>
      <c r="D58" s="502"/>
      <c r="E58" s="502"/>
      <c r="F58" s="502"/>
      <c r="G58" s="502"/>
      <c r="H58" s="502"/>
      <c r="I58" s="502"/>
      <c r="J58" s="502"/>
      <c r="K58" s="502"/>
      <c r="L58" s="502"/>
      <c r="M58" s="502"/>
      <c r="N58" s="502"/>
      <c r="O58" s="502"/>
      <c r="P58" s="502"/>
      <c r="Q58" s="503"/>
      <c r="R58" s="101"/>
      <c r="S58" s="57"/>
      <c r="T58" s="57"/>
      <c r="U58" s="58"/>
      <c r="V58" s="58"/>
      <c r="W58" s="57"/>
      <c r="X58" s="58"/>
      <c r="Y58" s="58"/>
      <c r="Z58" s="58"/>
    </row>
    <row r="59" spans="1:26" s="276" customFormat="1" ht="15" customHeight="1" x14ac:dyDescent="0.2">
      <c r="A59" s="301">
        <v>1</v>
      </c>
      <c r="B59" s="302" t="str">
        <f>'Salary Record'!C659</f>
        <v xml:space="preserve">Engr. Israr </v>
      </c>
      <c r="C59" s="265"/>
      <c r="D59" s="266"/>
      <c r="E59" s="267">
        <f>'Salary Record'!K658</f>
        <v>170000</v>
      </c>
      <c r="F59" s="267">
        <f>'Salary Record'!C664</f>
        <v>30</v>
      </c>
      <c r="G59" s="267">
        <f>'Salary Record'!C665</f>
        <v>0</v>
      </c>
      <c r="H59" s="267">
        <f>'Salary Record'!I663</f>
        <v>0</v>
      </c>
      <c r="I59" s="267">
        <f>'Salary Record'!I662</f>
        <v>30</v>
      </c>
      <c r="J59" s="268">
        <f>'Salary Record'!K663</f>
        <v>0</v>
      </c>
      <c r="K59" s="268">
        <f>'Salary Record'!K664</f>
        <v>170000</v>
      </c>
      <c r="L59" s="269">
        <f>'Salary Record'!G662</f>
        <v>0</v>
      </c>
      <c r="M59" s="270">
        <f>'Salary Record'!G663</f>
        <v>0</v>
      </c>
      <c r="N59" s="271">
        <f>'Salary Record'!G664</f>
        <v>0</v>
      </c>
      <c r="O59" s="270">
        <f>'Salary Record'!G665</f>
        <v>0</v>
      </c>
      <c r="P59" s="271">
        <f>'Salary Record'!G666</f>
        <v>0</v>
      </c>
      <c r="Q59" s="269">
        <f>'Salary Record'!K666</f>
        <v>170000</v>
      </c>
      <c r="R59" s="272"/>
      <c r="S59" s="273"/>
      <c r="T59" s="274"/>
      <c r="U59" s="275"/>
      <c r="V59" s="275"/>
      <c r="W59" s="275"/>
      <c r="X59" s="275"/>
      <c r="Y59" s="275"/>
      <c r="Z59" s="275"/>
    </row>
    <row r="60" spans="1:26" s="276" customFormat="1" ht="15" customHeight="1" x14ac:dyDescent="0.2">
      <c r="A60" s="301">
        <v>2</v>
      </c>
      <c r="B60" s="302" t="str">
        <f>'Salary Record'!C294</f>
        <v>Imran Feroz</v>
      </c>
      <c r="C60" s="303"/>
      <c r="D60" s="266"/>
      <c r="E60" s="304">
        <f>'Salary Record'!K293</f>
        <v>75000</v>
      </c>
      <c r="F60" s="304">
        <f>'Salary Record'!C299</f>
        <v>28</v>
      </c>
      <c r="G60" s="305">
        <f>'Salary Record'!C300</f>
        <v>2</v>
      </c>
      <c r="H60" s="304">
        <f>'Salary Record'!I298</f>
        <v>15</v>
      </c>
      <c r="I60" s="304">
        <f>'Salary Record'!I297</f>
        <v>30</v>
      </c>
      <c r="J60" s="267">
        <f>'Salary Record'!K298</f>
        <v>4687.5</v>
      </c>
      <c r="K60" s="270">
        <f>'Salary Record'!K299</f>
        <v>79687.5</v>
      </c>
      <c r="L60" s="269">
        <f>'Salary Record'!G297</f>
        <v>12000</v>
      </c>
      <c r="M60" s="270">
        <f>'Salary Record'!G298</f>
        <v>0</v>
      </c>
      <c r="N60" s="271">
        <f>'Salary Record'!G299</f>
        <v>12000</v>
      </c>
      <c r="O60" s="270">
        <f>'Salary Record'!G300</f>
        <v>0</v>
      </c>
      <c r="P60" s="271">
        <f>'Salary Record'!G301</f>
        <v>12000</v>
      </c>
      <c r="Q60" s="306">
        <f>'Salary Record'!K301</f>
        <v>79687.5</v>
      </c>
      <c r="R60" s="272"/>
      <c r="S60" s="273"/>
      <c r="T60" s="274"/>
      <c r="U60" s="275"/>
      <c r="V60" s="275"/>
      <c r="W60" s="275"/>
      <c r="X60" s="275"/>
      <c r="Y60" s="275"/>
      <c r="Z60" s="275"/>
    </row>
    <row r="61" spans="1:26" s="276" customFormat="1" ht="15" customHeight="1" x14ac:dyDescent="0.2">
      <c r="A61" s="301">
        <v>3</v>
      </c>
      <c r="B61" s="302" t="str">
        <f>'Salary Record'!C279</f>
        <v>Mukhtiar</v>
      </c>
      <c r="C61" s="307"/>
      <c r="D61" s="308"/>
      <c r="E61" s="304">
        <f>'Salary Record'!K278</f>
        <v>50000</v>
      </c>
      <c r="F61" s="304">
        <f>'Salary Record'!C284</f>
        <v>30</v>
      </c>
      <c r="G61" s="305">
        <f>'Salary Record'!C285</f>
        <v>0</v>
      </c>
      <c r="H61" s="304">
        <f>'Salary Record'!I283</f>
        <v>14</v>
      </c>
      <c r="I61" s="304">
        <f>'Salary Record'!I282</f>
        <v>30</v>
      </c>
      <c r="J61" s="309">
        <f>'Salary Record'!K283</f>
        <v>2916.666666666667</v>
      </c>
      <c r="K61" s="309">
        <f>'Salary Record'!K284</f>
        <v>52916.666666666664</v>
      </c>
      <c r="L61" s="306">
        <f>'Salary Record'!G282</f>
        <v>127870</v>
      </c>
      <c r="M61" s="310">
        <f>'Salary Record'!G283</f>
        <v>9870</v>
      </c>
      <c r="N61" s="308">
        <f>'Salary Record'!G284</f>
        <v>137740</v>
      </c>
      <c r="O61" s="310">
        <f>'Salary Record'!G285</f>
        <v>5000</v>
      </c>
      <c r="P61" s="308">
        <f>'Salary Record'!G286</f>
        <v>132740</v>
      </c>
      <c r="Q61" s="306">
        <f>'Salary Record'!K286</f>
        <v>47916.666666666664</v>
      </c>
      <c r="R61" s="272"/>
      <c r="S61" s="273"/>
      <c r="T61" s="272"/>
      <c r="U61" s="311"/>
      <c r="V61" s="311"/>
      <c r="W61" s="311"/>
      <c r="X61" s="311"/>
      <c r="Y61" s="311"/>
      <c r="Z61" s="311"/>
    </row>
    <row r="62" spans="1:26" s="276" customFormat="1" ht="15" customHeight="1" x14ac:dyDescent="0.2">
      <c r="A62" s="301">
        <v>4</v>
      </c>
      <c r="B62" s="302" t="str">
        <f>'Salary Record'!C626</f>
        <v>Mohib uz Zaman</v>
      </c>
      <c r="C62" s="312"/>
      <c r="D62" s="313"/>
      <c r="E62" s="304">
        <f>'Salary Record'!K625</f>
        <v>45000</v>
      </c>
      <c r="F62" s="305">
        <f>'Salary Record'!C631</f>
        <v>30</v>
      </c>
      <c r="G62" s="305">
        <f>'Salary Record'!C632</f>
        <v>0</v>
      </c>
      <c r="H62" s="305">
        <f>'Salary Record'!I630</f>
        <v>27</v>
      </c>
      <c r="I62" s="305">
        <f>'Salary Record'!I629</f>
        <v>30</v>
      </c>
      <c r="J62" s="309">
        <f>'Salary Record'!K630</f>
        <v>5062.5</v>
      </c>
      <c r="K62" s="309">
        <f>'Salary Record'!K631</f>
        <v>50062.5</v>
      </c>
      <c r="L62" s="306">
        <f>'Salary Record'!G629</f>
        <v>0</v>
      </c>
      <c r="M62" s="310">
        <f>'Salary Record'!G630</f>
        <v>0</v>
      </c>
      <c r="N62" s="308">
        <f>'Salary Record'!G631</f>
        <v>0</v>
      </c>
      <c r="O62" s="310">
        <f>'Salary Record'!G632</f>
        <v>0</v>
      </c>
      <c r="P62" s="308">
        <f>'Salary Record'!G633</f>
        <v>0</v>
      </c>
      <c r="Q62" s="306">
        <f>'Salary Record'!K633</f>
        <v>50062.5</v>
      </c>
      <c r="R62" s="272"/>
      <c r="S62" s="273"/>
      <c r="T62" s="272"/>
      <c r="U62" s="311"/>
      <c r="V62" s="311"/>
      <c r="W62" s="311"/>
      <c r="X62" s="311"/>
      <c r="Y62" s="311"/>
      <c r="Z62" s="311"/>
    </row>
    <row r="63" spans="1:26" s="276" customFormat="1" ht="15" customHeight="1" x14ac:dyDescent="0.2">
      <c r="A63" s="301">
        <v>5</v>
      </c>
      <c r="B63" s="302" t="str">
        <f>'Salary Record'!C264</f>
        <v>M. Arif</v>
      </c>
      <c r="C63" s="312"/>
      <c r="D63" s="313"/>
      <c r="E63" s="304">
        <f>'Salary Record'!K263</f>
        <v>35000</v>
      </c>
      <c r="F63" s="305">
        <f>'Salary Record'!C269</f>
        <v>28</v>
      </c>
      <c r="G63" s="305">
        <f>'Salary Record'!C270</f>
        <v>2</v>
      </c>
      <c r="H63" s="305">
        <f>'Salary Record'!I268</f>
        <v>28</v>
      </c>
      <c r="I63" s="305">
        <f>'Salary Record'!I267</f>
        <v>28</v>
      </c>
      <c r="J63" s="309">
        <f>'Salary Record'!K268</f>
        <v>4083.3333333333335</v>
      </c>
      <c r="K63" s="309">
        <f>'Salary Record'!K269</f>
        <v>36750</v>
      </c>
      <c r="L63" s="306">
        <f>'Salary Record'!G267</f>
        <v>0</v>
      </c>
      <c r="M63" s="310">
        <f>'Salary Record'!G268</f>
        <v>0</v>
      </c>
      <c r="N63" s="308">
        <f>'Salary Record'!G269</f>
        <v>0</v>
      </c>
      <c r="O63" s="310">
        <f>'Salary Record'!G270</f>
        <v>0</v>
      </c>
      <c r="P63" s="308">
        <f>'Salary Record'!G271</f>
        <v>0</v>
      </c>
      <c r="Q63" s="306">
        <f>'Salary Record'!K271</f>
        <v>36750</v>
      </c>
      <c r="R63" s="272"/>
      <c r="S63" s="273"/>
      <c r="T63" s="272"/>
      <c r="U63" s="311"/>
      <c r="V63" s="311"/>
      <c r="W63" s="311"/>
      <c r="X63" s="311"/>
      <c r="Y63" s="311"/>
      <c r="Z63" s="311"/>
    </row>
    <row r="64" spans="1:26" s="276" customFormat="1" ht="15" customHeight="1" x14ac:dyDescent="0.2">
      <c r="A64" s="301">
        <v>6</v>
      </c>
      <c r="B64" s="302" t="str">
        <f>'Salary Record'!C249</f>
        <v>Ibtihaj</v>
      </c>
      <c r="C64" s="314"/>
      <c r="D64" s="315"/>
      <c r="E64" s="304">
        <f>'Salary Record'!K248</f>
        <v>45000</v>
      </c>
      <c r="F64" s="267">
        <f>'Salary Record'!C254</f>
        <v>30</v>
      </c>
      <c r="G64" s="267">
        <f>'Salary Record'!C255</f>
        <v>0</v>
      </c>
      <c r="H64" s="267">
        <f>'Salary Record'!I253</f>
        <v>41</v>
      </c>
      <c r="I64" s="267">
        <f>'Salary Record'!I252</f>
        <v>30</v>
      </c>
      <c r="J64" s="268">
        <f>'Salary Record'!K253</f>
        <v>7687.5</v>
      </c>
      <c r="K64" s="268">
        <f>'Salary Record'!K254</f>
        <v>52687.5</v>
      </c>
      <c r="L64" s="269">
        <f>'Salary Record'!G252</f>
        <v>0</v>
      </c>
      <c r="M64" s="270">
        <f>'Salary Record'!G253</f>
        <v>0</v>
      </c>
      <c r="N64" s="271">
        <f>'Salary Record'!G254</f>
        <v>0</v>
      </c>
      <c r="O64" s="270">
        <f>'Salary Record'!G255</f>
        <v>0</v>
      </c>
      <c r="P64" s="271">
        <f>'Salary Record'!G256</f>
        <v>0</v>
      </c>
      <c r="Q64" s="306">
        <f>'Salary Record'!K256</f>
        <v>52687.5</v>
      </c>
      <c r="R64" s="272"/>
      <c r="S64" s="273"/>
      <c r="T64" s="274"/>
      <c r="U64" s="275"/>
      <c r="V64" s="275"/>
      <c r="W64" s="275"/>
      <c r="X64" s="275"/>
      <c r="Y64" s="275"/>
      <c r="Z64" s="275"/>
    </row>
    <row r="65" spans="1:26" s="276" customFormat="1" ht="15" customHeight="1" x14ac:dyDescent="0.2">
      <c r="A65" s="301">
        <v>7</v>
      </c>
      <c r="B65" s="302" t="str">
        <f>'Salary Record'!C800</f>
        <v>Saad</v>
      </c>
      <c r="C65" s="314"/>
      <c r="D65" s="315"/>
      <c r="E65" s="304">
        <f>'Salary Record'!K799</f>
        <v>45000</v>
      </c>
      <c r="F65" s="267">
        <f>'Salary Record'!C805</f>
        <v>30</v>
      </c>
      <c r="G65" s="267">
        <f>'Salary Record'!C806</f>
        <v>0</v>
      </c>
      <c r="H65" s="267">
        <f>'Salary Record'!I804</f>
        <v>79</v>
      </c>
      <c r="I65" s="267">
        <f>'Salary Record'!I803</f>
        <v>30</v>
      </c>
      <c r="J65" s="268">
        <f>'Salary Record'!K804</f>
        <v>14812.5</v>
      </c>
      <c r="K65" s="268">
        <f>'Salary Record'!K805</f>
        <v>59812.5</v>
      </c>
      <c r="L65" s="269">
        <f>'Salary Record'!G803</f>
        <v>0</v>
      </c>
      <c r="M65" s="270">
        <f>'Salary Record'!G804</f>
        <v>0</v>
      </c>
      <c r="N65" s="271">
        <f>'Salary Record'!G805</f>
        <v>0</v>
      </c>
      <c r="O65" s="270">
        <f>'Salary Record'!G806</f>
        <v>0</v>
      </c>
      <c r="P65" s="271">
        <f>'Salary Record'!G807</f>
        <v>0</v>
      </c>
      <c r="Q65" s="306">
        <f>'Salary Record'!K807</f>
        <v>59812.5</v>
      </c>
      <c r="R65" s="272"/>
      <c r="S65" s="273"/>
      <c r="T65" s="274"/>
      <c r="U65" s="275"/>
      <c r="V65" s="275"/>
      <c r="W65" s="275"/>
      <c r="X65" s="275"/>
      <c r="Y65" s="275"/>
      <c r="Z65" s="275"/>
    </row>
    <row r="66" spans="1:26" s="276" customFormat="1" ht="15" customHeight="1" x14ac:dyDescent="0.2">
      <c r="A66" s="301">
        <v>8</v>
      </c>
      <c r="B66" s="302" t="str">
        <f>'Salary Record'!C309</f>
        <v>Asif Hussain</v>
      </c>
      <c r="C66" s="265"/>
      <c r="D66" s="316"/>
      <c r="E66" s="304">
        <f>'Salary Record'!K308</f>
        <v>35000</v>
      </c>
      <c r="F66" s="304">
        <f>'Salary Record'!C314</f>
        <v>30</v>
      </c>
      <c r="G66" s="305">
        <f>'Salary Record'!C315</f>
        <v>0</v>
      </c>
      <c r="H66" s="304">
        <f>'Salary Record'!I313</f>
        <v>65</v>
      </c>
      <c r="I66" s="304">
        <f>'Salary Record'!I312</f>
        <v>30</v>
      </c>
      <c r="J66" s="268">
        <f>'Salary Record'!K313</f>
        <v>9479.1666666666679</v>
      </c>
      <c r="K66" s="268">
        <f>'Salary Record'!K314</f>
        <v>44479.166666666672</v>
      </c>
      <c r="L66" s="269">
        <f>'Salary Record'!G312</f>
        <v>6760</v>
      </c>
      <c r="M66" s="270">
        <f>'Salary Record'!G313</f>
        <v>3000</v>
      </c>
      <c r="N66" s="271">
        <f>'Salary Record'!G314</f>
        <v>9760</v>
      </c>
      <c r="O66" s="270">
        <f>'Salary Record'!G315</f>
        <v>2000</v>
      </c>
      <c r="P66" s="271">
        <f>'Salary Record'!G316</f>
        <v>7760</v>
      </c>
      <c r="Q66" s="306">
        <f>'Salary Record'!K316</f>
        <v>42479.166666666672</v>
      </c>
      <c r="R66" s="272"/>
      <c r="S66" s="273"/>
      <c r="T66" s="274"/>
      <c r="U66" s="275"/>
      <c r="V66" s="275"/>
      <c r="W66" s="275"/>
      <c r="X66" s="275"/>
      <c r="Y66" s="275"/>
      <c r="Z66" s="275"/>
    </row>
    <row r="67" spans="1:26" s="276" customFormat="1" ht="15" customHeight="1" x14ac:dyDescent="0.2">
      <c r="A67" s="301">
        <v>9</v>
      </c>
      <c r="B67" s="302" t="str">
        <f>'Salary Record'!C580</f>
        <v>Waqas</v>
      </c>
      <c r="C67" s="314"/>
      <c r="D67" s="315"/>
      <c r="E67" s="270">
        <f>'Salary Record'!K579</f>
        <v>55000</v>
      </c>
      <c r="F67" s="270">
        <f>'Salary Record'!C585</f>
        <v>28</v>
      </c>
      <c r="G67" s="267">
        <f>'Salary Record'!C586</f>
        <v>2</v>
      </c>
      <c r="H67" s="270">
        <f>'Salary Record'!I584</f>
        <v>29</v>
      </c>
      <c r="I67" s="270">
        <f>'Salary Record'!I583</f>
        <v>27</v>
      </c>
      <c r="J67" s="268">
        <f>'Salary Record'!K584</f>
        <v>6645.833333333333</v>
      </c>
      <c r="K67" s="270">
        <f>'Salary Record'!K585</f>
        <v>56145.833333333336</v>
      </c>
      <c r="L67" s="269">
        <f>'Salary Record'!G583</f>
        <v>22000</v>
      </c>
      <c r="M67" s="270">
        <f>'Salary Record'!G584</f>
        <v>6500</v>
      </c>
      <c r="N67" s="271">
        <f>'Salary Record'!G585</f>
        <v>28500</v>
      </c>
      <c r="O67" s="270">
        <f>'Salary Record'!G586</f>
        <v>5000</v>
      </c>
      <c r="P67" s="271">
        <f>'Salary Record'!G587</f>
        <v>23500</v>
      </c>
      <c r="Q67" s="269">
        <f>'Salary Record'!K587</f>
        <v>51145.833333333336</v>
      </c>
      <c r="R67" s="272"/>
      <c r="S67" s="273"/>
      <c r="T67" s="274"/>
      <c r="U67" s="275"/>
      <c r="V67" s="275"/>
      <c r="W67" s="275"/>
      <c r="X67" s="275"/>
      <c r="Y67" s="275"/>
      <c r="Z67" s="275"/>
    </row>
    <row r="68" spans="1:26" s="276" customFormat="1" ht="15" customHeight="1" x14ac:dyDescent="0.2">
      <c r="A68" s="301">
        <v>10</v>
      </c>
      <c r="B68" s="302" t="str">
        <f>'Salary Record'!C736</f>
        <v>Kamran</v>
      </c>
      <c r="C68" s="317"/>
      <c r="D68" s="318"/>
      <c r="E68" s="270">
        <f>'Salary Record'!K735</f>
        <v>35000</v>
      </c>
      <c r="F68" s="270">
        <f>'Salary Record'!C741</f>
        <v>26</v>
      </c>
      <c r="G68" s="267">
        <f>'Salary Record'!C742</f>
        <v>4</v>
      </c>
      <c r="H68" s="270">
        <f>'Salary Record'!I740</f>
        <v>14</v>
      </c>
      <c r="I68" s="270">
        <f>'Salary Record'!I739</f>
        <v>26</v>
      </c>
      <c r="J68" s="268">
        <f>'Salary Record'!K740</f>
        <v>2041.6666666666667</v>
      </c>
      <c r="K68" s="270">
        <f>'Salary Record'!K741</f>
        <v>32375.000000000004</v>
      </c>
      <c r="L68" s="269">
        <f>'Salary Record'!G739</f>
        <v>0</v>
      </c>
      <c r="M68" s="270">
        <f>'Salary Record'!G740</f>
        <v>0</v>
      </c>
      <c r="N68" s="271" t="str">
        <f>'Salary Record'!G741</f>
        <v/>
      </c>
      <c r="O68" s="270">
        <f>'Salary Record'!G742</f>
        <v>0</v>
      </c>
      <c r="P68" s="271" t="str">
        <f>'Salary Record'!G743</f>
        <v/>
      </c>
      <c r="Q68" s="269">
        <f>'Salary Record'!K743</f>
        <v>32375.000000000004</v>
      </c>
      <c r="R68" s="272"/>
      <c r="S68" s="273"/>
      <c r="T68" s="274"/>
      <c r="U68" s="275"/>
      <c r="V68" s="275"/>
      <c r="W68" s="275"/>
      <c r="X68" s="275"/>
      <c r="Y68" s="275"/>
      <c r="Z68" s="275"/>
    </row>
    <row r="69" spans="1:26" s="276" customFormat="1" ht="15" customHeight="1" x14ac:dyDescent="0.3">
      <c r="A69" s="301">
        <v>11</v>
      </c>
      <c r="B69" s="327" t="str">
        <f>'Salary Record'!C864</f>
        <v>Amjad</v>
      </c>
      <c r="C69" s="319"/>
      <c r="D69" s="320"/>
      <c r="E69" s="304">
        <f>'Salary Record'!K863</f>
        <v>35000</v>
      </c>
      <c r="F69" s="304">
        <f>'Salary Record'!C869</f>
        <v>29</v>
      </c>
      <c r="G69" s="305">
        <f>'Salary Record'!C870</f>
        <v>1</v>
      </c>
      <c r="H69" s="304">
        <f>'Salary Record'!I868</f>
        <v>2</v>
      </c>
      <c r="I69" s="304">
        <f>'Salary Record'!I867</f>
        <v>29</v>
      </c>
      <c r="J69" s="321">
        <f>'Salary Record'!K868</f>
        <v>291.66666666666669</v>
      </c>
      <c r="K69" s="310">
        <f>'Salary Record'!K869</f>
        <v>34125</v>
      </c>
      <c r="L69" s="306">
        <f>'Salary Record'!G867</f>
        <v>0</v>
      </c>
      <c r="M69" s="310">
        <f>'Salary Record'!G868</f>
        <v>10000</v>
      </c>
      <c r="N69" s="308">
        <f>'Salary Record'!G869</f>
        <v>10000</v>
      </c>
      <c r="O69" s="310">
        <f>'Salary Record'!G870</f>
        <v>10000</v>
      </c>
      <c r="P69" s="308">
        <f>'Salary Record'!G871</f>
        <v>0</v>
      </c>
      <c r="Q69" s="306">
        <f>'Salary Record'!K871</f>
        <v>24125</v>
      </c>
      <c r="R69" s="322"/>
      <c r="S69" s="323"/>
      <c r="T69" s="324"/>
      <c r="U69" s="324"/>
      <c r="V69" s="323"/>
      <c r="W69" s="323"/>
      <c r="X69" s="323"/>
      <c r="Y69" s="323"/>
      <c r="Z69" s="323"/>
    </row>
    <row r="70" spans="1:26" s="276" customFormat="1" ht="15" customHeight="1" x14ac:dyDescent="0.2">
      <c r="A70" s="301">
        <v>12</v>
      </c>
      <c r="B70" s="302" t="str">
        <f>'Salary Record'!C784</f>
        <v>Noman</v>
      </c>
      <c r="C70" s="317"/>
      <c r="D70" s="318"/>
      <c r="E70" s="270">
        <f>'Salary Record'!K783</f>
        <v>35000</v>
      </c>
      <c r="F70" s="270">
        <f>'Salary Record'!C789</f>
        <v>29</v>
      </c>
      <c r="G70" s="267">
        <f>'Salary Record'!C790</f>
        <v>1</v>
      </c>
      <c r="H70" s="270">
        <f>'Salary Record'!I788</f>
        <v>30</v>
      </c>
      <c r="I70" s="270">
        <f>'Salary Record'!I787</f>
        <v>29</v>
      </c>
      <c r="J70" s="268">
        <f>'Salary Record'!K788</f>
        <v>4375</v>
      </c>
      <c r="K70" s="270">
        <f>'Salary Record'!K789</f>
        <v>38208.333333333336</v>
      </c>
      <c r="L70" s="269">
        <f>'Salary Record'!G787</f>
        <v>0</v>
      </c>
      <c r="M70" s="270">
        <f>'Salary Record'!G788</f>
        <v>0</v>
      </c>
      <c r="N70" s="271">
        <f>'Salary Record'!G789</f>
        <v>0</v>
      </c>
      <c r="O70" s="270">
        <f>'Salary Record'!G790</f>
        <v>0</v>
      </c>
      <c r="P70" s="271">
        <f>'Salary Record'!G791</f>
        <v>0</v>
      </c>
      <c r="Q70" s="269">
        <f>'Salary Record'!K791</f>
        <v>38208.333333333336</v>
      </c>
      <c r="R70" s="272"/>
      <c r="S70" s="273"/>
      <c r="T70" s="274"/>
      <c r="U70" s="275"/>
      <c r="V70" s="275"/>
      <c r="W70" s="275"/>
      <c r="X70" s="275"/>
      <c r="Y70" s="275"/>
      <c r="Z70" s="275"/>
    </row>
    <row r="71" spans="1:26" s="276" customFormat="1" ht="15" customHeight="1" x14ac:dyDescent="0.2">
      <c r="A71" s="301">
        <v>13</v>
      </c>
      <c r="B71" s="302" t="str">
        <f>'Salary Record'!C596</f>
        <v>Umair Ali</v>
      </c>
      <c r="C71" s="325" t="s">
        <v>49</v>
      </c>
      <c r="D71" s="326">
        <f>SUM(Q48:Q106)</f>
        <v>9728650.0000000019</v>
      </c>
      <c r="E71" s="304">
        <f>'Salary Record'!K595</f>
        <v>35000</v>
      </c>
      <c r="F71" s="310">
        <f>'Salary Record'!C601</f>
        <v>29</v>
      </c>
      <c r="G71" s="305">
        <f>'Salary Record'!C602</f>
        <v>1</v>
      </c>
      <c r="H71" s="310">
        <f>'Salary Record'!I600</f>
        <v>16</v>
      </c>
      <c r="I71" s="310">
        <f>'Salary Record'!I599</f>
        <v>29</v>
      </c>
      <c r="J71" s="309">
        <f>'Salary Record'!K600</f>
        <v>2333.3333333333335</v>
      </c>
      <c r="K71" s="309">
        <f>'Salary Record'!K601</f>
        <v>36166.666666666672</v>
      </c>
      <c r="L71" s="306" t="str">
        <f>'Salary Record'!G599</f>
        <v/>
      </c>
      <c r="M71" s="310">
        <f>'Salary Record'!G600</f>
        <v>0</v>
      </c>
      <c r="N71" s="310" t="str">
        <f>'Salary Record'!G601</f>
        <v/>
      </c>
      <c r="O71" s="310">
        <f>'Salary Record'!G602</f>
        <v>0</v>
      </c>
      <c r="P71" s="308" t="str">
        <f>'Salary Record'!G603</f>
        <v/>
      </c>
      <c r="Q71" s="306">
        <f>'Salary Record'!K603</f>
        <v>36166.666666666672</v>
      </c>
      <c r="R71" s="272"/>
      <c r="S71" s="273"/>
      <c r="T71" s="272" t="e">
        <f>Q71+Q70+Q68+Q67+Q66+Q73+Q64+#REF!+Q63+#REF!+Q62</f>
        <v>#REF!</v>
      </c>
      <c r="U71" s="311"/>
      <c r="V71" s="311"/>
      <c r="W71" s="311"/>
      <c r="X71" s="311"/>
      <c r="Y71" s="311"/>
      <c r="Z71" s="311"/>
    </row>
    <row r="72" spans="1:26" s="276" customFormat="1" ht="15" customHeight="1" x14ac:dyDescent="0.3">
      <c r="A72" s="301">
        <v>14</v>
      </c>
      <c r="B72" s="282" t="s">
        <v>299</v>
      </c>
      <c r="C72" s="319"/>
      <c r="D72" s="320"/>
      <c r="E72" s="304">
        <f>'Salary Record'!K879</f>
        <v>50000</v>
      </c>
      <c r="F72" s="304">
        <f>'Salary Record'!C885</f>
        <v>30</v>
      </c>
      <c r="G72" s="305">
        <f>'Salary Record'!C886</f>
        <v>0</v>
      </c>
      <c r="H72" s="304">
        <f>'Salary Record'!I884</f>
        <v>0</v>
      </c>
      <c r="I72" s="304">
        <f>'Salary Record'!I883</f>
        <v>30</v>
      </c>
      <c r="J72" s="321">
        <f>'Salary Record'!K884</f>
        <v>0</v>
      </c>
      <c r="K72" s="310">
        <f>'Salary Record'!K885</f>
        <v>50000</v>
      </c>
      <c r="L72" s="306">
        <f>'Salary Record'!G883</f>
        <v>0</v>
      </c>
      <c r="M72" s="310">
        <f>'Salary Record'!G884</f>
        <v>0</v>
      </c>
      <c r="N72" s="308">
        <f>'Salary Record'!G885</f>
        <v>0</v>
      </c>
      <c r="O72" s="310">
        <f>'Salary Record'!G886</f>
        <v>0</v>
      </c>
      <c r="P72" s="308">
        <f>'Salary Record'!G887</f>
        <v>0</v>
      </c>
      <c r="Q72" s="306">
        <f>'Salary Record'!K887</f>
        <v>50000</v>
      </c>
      <c r="R72" s="322"/>
      <c r="S72" s="323"/>
      <c r="T72" s="324"/>
      <c r="U72" s="324"/>
      <c r="V72" s="323"/>
      <c r="W72" s="323"/>
      <c r="X72" s="323"/>
      <c r="Y72" s="323"/>
      <c r="Z72" s="323"/>
    </row>
    <row r="73" spans="1:26" s="276" customFormat="1" ht="15" customHeight="1" x14ac:dyDescent="0.2">
      <c r="A73" s="301">
        <v>15</v>
      </c>
      <c r="B73" s="302" t="str">
        <f>'Salary Record'!C705</f>
        <v>Talha</v>
      </c>
      <c r="C73" s="265"/>
      <c r="D73" s="266"/>
      <c r="E73" s="267">
        <f>'Salary Record'!K704</f>
        <v>35000</v>
      </c>
      <c r="F73" s="267">
        <f>'Salary Record'!C710</f>
        <v>29</v>
      </c>
      <c r="G73" s="267">
        <f>'Salary Record'!C711</f>
        <v>1</v>
      </c>
      <c r="H73" s="267">
        <f>'Salary Record'!I709</f>
        <v>35</v>
      </c>
      <c r="I73" s="267">
        <f>'Salary Record'!I708</f>
        <v>29</v>
      </c>
      <c r="J73" s="268">
        <f>'Salary Record'!K709</f>
        <v>5104.166666666667</v>
      </c>
      <c r="K73" s="268">
        <f>'Salary Record'!K710</f>
        <v>38937.5</v>
      </c>
      <c r="L73" s="269" t="str">
        <f>'Salary Record'!G708</f>
        <v/>
      </c>
      <c r="M73" s="270">
        <f>'Salary Record'!G709</f>
        <v>0</v>
      </c>
      <c r="N73" s="271" t="str">
        <f>'Salary Record'!G710</f>
        <v/>
      </c>
      <c r="O73" s="270">
        <f>'Salary Record'!G711</f>
        <v>0</v>
      </c>
      <c r="P73" s="271" t="str">
        <f>'Salary Record'!G712</f>
        <v/>
      </c>
      <c r="Q73" s="269">
        <f>'Salary Record'!K712</f>
        <v>38937.5</v>
      </c>
      <c r="R73" s="272"/>
      <c r="S73" s="273"/>
      <c r="T73" s="274"/>
      <c r="U73" s="275"/>
      <c r="V73" s="275"/>
      <c r="W73" s="275"/>
      <c r="X73" s="275"/>
      <c r="Y73" s="275"/>
      <c r="Z73" s="275"/>
    </row>
    <row r="74" spans="1:26" s="276" customFormat="1" ht="15" customHeight="1" x14ac:dyDescent="0.2">
      <c r="A74" s="301">
        <v>16</v>
      </c>
      <c r="B74" s="264" t="str">
        <f>'Salary Record'!C816</f>
        <v>Momin</v>
      </c>
      <c r="C74" s="265"/>
      <c r="D74" s="266"/>
      <c r="E74" s="267">
        <f>'Salary Record'!K815</f>
        <v>35000</v>
      </c>
      <c r="F74" s="267">
        <f>'Salary Record'!C821</f>
        <v>30</v>
      </c>
      <c r="G74" s="267">
        <f>'Salary Record'!C822</f>
        <v>0</v>
      </c>
      <c r="H74" s="267">
        <f>'Salary Record'!I820</f>
        <v>39</v>
      </c>
      <c r="I74" s="267">
        <f>'Salary Record'!I819</f>
        <v>30</v>
      </c>
      <c r="J74" s="268">
        <f>'Salary Record'!K820</f>
        <v>5687.5</v>
      </c>
      <c r="K74" s="268">
        <f>'Salary Record'!K821</f>
        <v>40687.5</v>
      </c>
      <c r="L74" s="269">
        <f>'Salary Record'!G819</f>
        <v>0</v>
      </c>
      <c r="M74" s="270">
        <f>'Salary Record'!G820</f>
        <v>0</v>
      </c>
      <c r="N74" s="271">
        <f>'Salary Record'!G821</f>
        <v>0</v>
      </c>
      <c r="O74" s="270">
        <f>'Salary Record'!G822</f>
        <v>0</v>
      </c>
      <c r="P74" s="271">
        <f>'Salary Record'!G823</f>
        <v>0</v>
      </c>
      <c r="Q74" s="269">
        <f>'Salary Record'!K823</f>
        <v>40687.5</v>
      </c>
      <c r="R74" s="272"/>
      <c r="S74" s="273"/>
      <c r="T74" s="274"/>
      <c r="U74" s="275"/>
      <c r="V74" s="275"/>
      <c r="W74" s="275"/>
      <c r="X74" s="275"/>
      <c r="Y74" s="275"/>
      <c r="Z74" s="275"/>
    </row>
    <row r="75" spans="1:26" ht="21" x14ac:dyDescent="0.3">
      <c r="A75" s="518" t="s">
        <v>23</v>
      </c>
      <c r="B75" s="503"/>
      <c r="C75" s="36"/>
      <c r="D75" s="36"/>
      <c r="E75" s="37">
        <f>SUM(E59:E74)</f>
        <v>815000</v>
      </c>
      <c r="F75" s="36"/>
      <c r="G75" s="36"/>
      <c r="H75" s="36"/>
      <c r="I75" s="36"/>
      <c r="J75" s="37">
        <f>SUM(J59:J74)</f>
        <v>75208.333333333343</v>
      </c>
      <c r="K75" s="37">
        <f>SUM(K59:K74)</f>
        <v>873041.66666666674</v>
      </c>
      <c r="L75" s="36"/>
      <c r="M75" s="36"/>
      <c r="N75" s="36"/>
      <c r="O75" s="36"/>
      <c r="P75" s="36"/>
      <c r="Q75" s="103">
        <f>SUM(Q59:Q74)</f>
        <v>851041.66666666674</v>
      </c>
      <c r="R75" s="103">
        <f>Q75-Q61</f>
        <v>803125.00000000012</v>
      </c>
      <c r="S75" s="103"/>
      <c r="T75" s="41"/>
      <c r="U75" s="41">
        <f>Q75-Q59+Q41</f>
        <v>736708.33333333337</v>
      </c>
      <c r="V75" s="40"/>
      <c r="W75" s="40"/>
      <c r="X75" s="40"/>
      <c r="Y75" s="40"/>
      <c r="Z75" s="40"/>
    </row>
    <row r="76" spans="1:26" ht="12.75" customHeight="1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3"/>
      <c r="R76" s="41"/>
      <c r="S76" s="22"/>
      <c r="T76" s="41"/>
      <c r="U76" s="41"/>
      <c r="V76" s="40"/>
      <c r="W76" s="40"/>
      <c r="X76" s="40"/>
      <c r="Y76" s="40"/>
      <c r="Z76" s="40"/>
    </row>
    <row r="77" spans="1:26" ht="21" customHeight="1" x14ac:dyDescent="0.2">
      <c r="A77" s="519" t="s">
        <v>50</v>
      </c>
      <c r="B77" s="502"/>
      <c r="C77" s="502"/>
      <c r="D77" s="502"/>
      <c r="E77" s="502"/>
      <c r="F77" s="502"/>
      <c r="G77" s="502"/>
      <c r="H77" s="502"/>
      <c r="I77" s="502"/>
      <c r="J77" s="502"/>
      <c r="K77" s="502"/>
      <c r="L77" s="502"/>
      <c r="M77" s="502"/>
      <c r="N77" s="502"/>
      <c r="O77" s="502"/>
      <c r="P77" s="502"/>
      <c r="Q77" s="503"/>
      <c r="R77" s="44"/>
      <c r="S77" s="46"/>
      <c r="T77" s="46"/>
      <c r="U77" s="46"/>
      <c r="V77" s="45"/>
      <c r="W77" s="45"/>
      <c r="X77" s="45"/>
      <c r="Y77" s="45"/>
      <c r="Z77" s="45"/>
    </row>
    <row r="78" spans="1:26" s="276" customFormat="1" ht="16.149999999999999" customHeight="1" x14ac:dyDescent="0.2">
      <c r="A78" s="359">
        <v>1</v>
      </c>
      <c r="B78" s="302" t="s">
        <v>51</v>
      </c>
      <c r="C78" s="347"/>
      <c r="D78" s="348"/>
      <c r="E78" s="304">
        <f>'Salary Record'!K84</f>
        <v>70000</v>
      </c>
      <c r="F78" s="304">
        <f>'Salary Record'!C90</f>
        <v>30</v>
      </c>
      <c r="G78" s="305">
        <f>'Salary Record'!C91</f>
        <v>0</v>
      </c>
      <c r="H78" s="304">
        <f>'Salary Record'!I89</f>
        <v>83</v>
      </c>
      <c r="I78" s="304">
        <f>'Salary Record'!I88</f>
        <v>30</v>
      </c>
      <c r="J78" s="321">
        <f>'Salary Record'!K89</f>
        <v>24208.333333333336</v>
      </c>
      <c r="K78" s="309">
        <f>'Salary Record'!K90</f>
        <v>94208.333333333343</v>
      </c>
      <c r="L78" s="306">
        <f>'Salary Record'!G88</f>
        <v>0</v>
      </c>
      <c r="M78" s="310">
        <f>'Salary Record'!G89</f>
        <v>0</v>
      </c>
      <c r="N78" s="308">
        <f>'Salary Record'!G90</f>
        <v>0</v>
      </c>
      <c r="O78" s="310">
        <f>'Salary Record'!G91</f>
        <v>0</v>
      </c>
      <c r="P78" s="308">
        <f>'Salary Record'!G92</f>
        <v>0</v>
      </c>
      <c r="Q78" s="306">
        <f>'Salary Record'!K92</f>
        <v>94208.333333333343</v>
      </c>
      <c r="R78" s="331"/>
      <c r="S78" s="331"/>
      <c r="T78" s="331"/>
      <c r="U78" s="331"/>
      <c r="V78" s="332"/>
      <c r="W78" s="332"/>
      <c r="X78" s="332"/>
      <c r="Y78" s="332"/>
      <c r="Z78" s="332"/>
    </row>
    <row r="79" spans="1:26" s="276" customFormat="1" ht="16.149999999999999" customHeight="1" x14ac:dyDescent="0.2">
      <c r="A79" s="359">
        <v>2</v>
      </c>
      <c r="B79" s="302" t="str">
        <f>'Salary Record'!C674</f>
        <v>M. Raza</v>
      </c>
      <c r="C79" s="328"/>
      <c r="D79" s="329"/>
      <c r="E79" s="310">
        <f>'Salary Record'!K673</f>
        <v>60000</v>
      </c>
      <c r="F79" s="310">
        <f>'Salary Record'!C679</f>
        <v>28</v>
      </c>
      <c r="G79" s="305">
        <f>'Salary Record'!C680</f>
        <v>2</v>
      </c>
      <c r="H79" s="310">
        <f>'Salary Record'!I678</f>
        <v>0</v>
      </c>
      <c r="I79" s="310">
        <f>'Salary Record'!I677</f>
        <v>28</v>
      </c>
      <c r="J79" s="309">
        <f>'Salary Record'!K678</f>
        <v>0</v>
      </c>
      <c r="K79" s="309">
        <f>'Salary Record'!K679</f>
        <v>56000</v>
      </c>
      <c r="L79" s="306">
        <f>'Salary Record'!G677</f>
        <v>10000</v>
      </c>
      <c r="M79" s="310">
        <f>'Salary Record'!G678</f>
        <v>0</v>
      </c>
      <c r="N79" s="308">
        <f>'Salary Record'!G679</f>
        <v>10000</v>
      </c>
      <c r="O79" s="310">
        <f>'Salary Record'!G680</f>
        <v>5000</v>
      </c>
      <c r="P79" s="308">
        <f>'Salary Record'!G681</f>
        <v>5000</v>
      </c>
      <c r="Q79" s="306">
        <f>'Salary Record'!K681</f>
        <v>51000</v>
      </c>
      <c r="R79" s="331"/>
      <c r="S79" s="331"/>
      <c r="T79" s="331"/>
      <c r="U79" s="332"/>
      <c r="V79" s="332"/>
      <c r="W79" s="332"/>
      <c r="X79" s="332"/>
      <c r="Y79" s="332"/>
      <c r="Z79" s="332"/>
    </row>
    <row r="80" spans="1:26" s="276" customFormat="1" ht="16.149999999999999" customHeight="1" x14ac:dyDescent="0.2">
      <c r="A80" s="359">
        <v>3</v>
      </c>
      <c r="B80" s="302" t="str">
        <f>'Salary Record'!C768</f>
        <v>Engr Ahsan</v>
      </c>
      <c r="C80" s="317"/>
      <c r="D80" s="318"/>
      <c r="E80" s="270">
        <f>'Salary Record'!K767</f>
        <v>70000</v>
      </c>
      <c r="F80" s="270">
        <f>'Salary Record'!C773</f>
        <v>29</v>
      </c>
      <c r="G80" s="267">
        <f>'Salary Record'!C774</f>
        <v>1</v>
      </c>
      <c r="H80" s="270">
        <f>'Salary Record'!I772</f>
        <v>79</v>
      </c>
      <c r="I80" s="270">
        <f>'Salary Record'!I771</f>
        <v>29</v>
      </c>
      <c r="J80" s="268">
        <f>'Salary Record'!K772</f>
        <v>23041.666666666668</v>
      </c>
      <c r="K80" s="270">
        <f>'Salary Record'!K773</f>
        <v>90708.333333333343</v>
      </c>
      <c r="L80" s="269">
        <f>'Salary Record'!G771</f>
        <v>40000</v>
      </c>
      <c r="M80" s="270">
        <f>'Salary Record'!G772</f>
        <v>0</v>
      </c>
      <c r="N80" s="271">
        <f>'Salary Record'!G773</f>
        <v>40000</v>
      </c>
      <c r="O80" s="270">
        <f>'Salary Record'!G774</f>
        <v>5000</v>
      </c>
      <c r="P80" s="271">
        <f>'Salary Record'!G775</f>
        <v>35000</v>
      </c>
      <c r="Q80" s="269">
        <f>'Salary Record'!K775</f>
        <v>85708.333333333343</v>
      </c>
      <c r="R80" s="273"/>
      <c r="S80" s="274"/>
      <c r="T80" s="274"/>
      <c r="U80" s="275"/>
      <c r="V80" s="275"/>
      <c r="W80" s="275"/>
      <c r="X80" s="275"/>
      <c r="Y80" s="275"/>
      <c r="Z80" s="275"/>
    </row>
    <row r="81" spans="1:26" s="276" customFormat="1" ht="16.149999999999999" customHeight="1" x14ac:dyDescent="0.2">
      <c r="A81" s="359">
        <v>4</v>
      </c>
      <c r="B81" s="302" t="str">
        <f>'Salary Record'!C832</f>
        <v>Talha Siddiqui</v>
      </c>
      <c r="C81" s="317"/>
      <c r="D81" s="318"/>
      <c r="E81" s="270">
        <f>'Salary Record'!K831</f>
        <v>60000</v>
      </c>
      <c r="F81" s="270">
        <f>'Salary Record'!C837</f>
        <v>19</v>
      </c>
      <c r="G81" s="267">
        <f>'Salary Record'!C838</f>
        <v>11</v>
      </c>
      <c r="H81" s="270">
        <f>'Salary Record'!I836</f>
        <v>0</v>
      </c>
      <c r="I81" s="270">
        <f>'Salary Record'!I835</f>
        <v>19</v>
      </c>
      <c r="J81" s="268">
        <f>'Salary Record'!K836</f>
        <v>0</v>
      </c>
      <c r="K81" s="270">
        <f>'Salary Record'!K837</f>
        <v>38000</v>
      </c>
      <c r="L81" s="269">
        <f>'Salary Record'!G835</f>
        <v>0</v>
      </c>
      <c r="M81" s="270">
        <f>'Salary Record'!G836</f>
        <v>0</v>
      </c>
      <c r="N81" s="271">
        <f>'Salary Record'!G837</f>
        <v>0</v>
      </c>
      <c r="O81" s="270">
        <f>'Salary Record'!G838</f>
        <v>0</v>
      </c>
      <c r="P81" s="271">
        <f>'Salary Record'!G839</f>
        <v>0</v>
      </c>
      <c r="Q81" s="495">
        <f>'Salary Record'!K839</f>
        <v>38000</v>
      </c>
      <c r="R81" s="273"/>
      <c r="S81" s="274"/>
      <c r="T81" s="274"/>
      <c r="U81" s="275"/>
      <c r="V81" s="275"/>
      <c r="W81" s="275"/>
      <c r="X81" s="275"/>
      <c r="Y81" s="275"/>
      <c r="Z81" s="275"/>
    </row>
    <row r="82" spans="1:26" s="276" customFormat="1" ht="16.149999999999999" customHeight="1" x14ac:dyDescent="0.2">
      <c r="A82" s="359">
        <v>5</v>
      </c>
      <c r="B82" s="302" t="str">
        <f>'Salary Record'!C115</f>
        <v>Amir (JPMC)</v>
      </c>
      <c r="C82" s="355"/>
      <c r="D82" s="354"/>
      <c r="E82" s="310">
        <f>'Salary Record'!K114</f>
        <v>60000</v>
      </c>
      <c r="F82" s="310">
        <f>'Salary Record'!C120</f>
        <v>30</v>
      </c>
      <c r="G82" s="305">
        <f>'Salary Record'!C121</f>
        <v>0</v>
      </c>
      <c r="H82" s="310">
        <f>'Salary Record'!I119</f>
        <v>24</v>
      </c>
      <c r="I82" s="310">
        <f>'Salary Record'!I118</f>
        <v>30</v>
      </c>
      <c r="J82" s="309">
        <f>'Salary Record'!K119</f>
        <v>6000</v>
      </c>
      <c r="K82" s="309">
        <f>'Salary Record'!K120</f>
        <v>66000</v>
      </c>
      <c r="L82" s="306">
        <f>'Salary Record'!G118</f>
        <v>59500</v>
      </c>
      <c r="M82" s="306">
        <f>'Salary Record'!G119</f>
        <v>0</v>
      </c>
      <c r="N82" s="308">
        <f>'Salary Record'!G120</f>
        <v>59500</v>
      </c>
      <c r="O82" s="306">
        <f>'Salary Record'!G121</f>
        <v>0</v>
      </c>
      <c r="P82" s="308">
        <f>'Salary Record'!G122</f>
        <v>59500</v>
      </c>
      <c r="Q82" s="306">
        <f>'Salary Record'!K122</f>
        <v>66000</v>
      </c>
      <c r="R82" s="331" t="s">
        <v>53</v>
      </c>
      <c r="S82" s="331" t="s">
        <v>54</v>
      </c>
      <c r="T82" s="331"/>
      <c r="U82" s="331"/>
      <c r="V82" s="332"/>
      <c r="W82" s="332"/>
      <c r="X82" s="332"/>
      <c r="Y82" s="332"/>
      <c r="Z82" s="332"/>
    </row>
    <row r="83" spans="1:26" s="276" customFormat="1" ht="16.149999999999999" customHeight="1" x14ac:dyDescent="0.2">
      <c r="A83" s="359">
        <v>6</v>
      </c>
      <c r="B83" s="302" t="str">
        <f>'Salary Record'!C400</f>
        <v>A. Lateef Chacha</v>
      </c>
      <c r="C83" s="307"/>
      <c r="D83" s="308"/>
      <c r="E83" s="310">
        <f>'Salary Record'!K399</f>
        <v>31000</v>
      </c>
      <c r="F83" s="310">
        <f>'Salary Record'!C405</f>
        <v>29</v>
      </c>
      <c r="G83" s="305">
        <f>'Salary Record'!C406</f>
        <v>1</v>
      </c>
      <c r="H83" s="310">
        <f>'Salary Record'!I404</f>
        <v>92</v>
      </c>
      <c r="I83" s="310">
        <f>'Salary Record'!I403</f>
        <v>30</v>
      </c>
      <c r="J83" s="309">
        <f>'Salary Record'!K404</f>
        <v>11883.333333333332</v>
      </c>
      <c r="K83" s="309">
        <f>'Salary Record'!K405</f>
        <v>42883.333333333328</v>
      </c>
      <c r="L83" s="306">
        <f>'Salary Record'!G403</f>
        <v>23000</v>
      </c>
      <c r="M83" s="306">
        <f>'Salary Record'!G404</f>
        <v>0</v>
      </c>
      <c r="N83" s="308">
        <f>'Salary Record'!G405</f>
        <v>23000</v>
      </c>
      <c r="O83" s="306">
        <f>'Salary Record'!G406</f>
        <v>2000</v>
      </c>
      <c r="P83" s="308">
        <f>'Salary Record'!G407</f>
        <v>21000</v>
      </c>
      <c r="Q83" s="306">
        <f>'Salary Record'!K407</f>
        <v>40883.333333333328</v>
      </c>
      <c r="R83" s="331"/>
      <c r="S83" s="331"/>
      <c r="T83" s="331"/>
      <c r="U83" s="332"/>
      <c r="V83" s="332"/>
      <c r="W83" s="332"/>
      <c r="X83" s="332"/>
      <c r="Y83" s="332"/>
      <c r="Z83" s="332"/>
    </row>
    <row r="84" spans="1:26" s="276" customFormat="1" ht="16.149999999999999" customHeight="1" x14ac:dyDescent="0.25">
      <c r="A84" s="359">
        <v>7</v>
      </c>
      <c r="B84" s="302" t="str">
        <f>'Salary Record'!C415</f>
        <v>Lateef</v>
      </c>
      <c r="C84" s="364"/>
      <c r="D84" s="365"/>
      <c r="E84" s="337">
        <f>'Salary Record'!K414</f>
        <v>34000</v>
      </c>
      <c r="F84" s="337">
        <f>'Salary Record'!C420</f>
        <v>28</v>
      </c>
      <c r="G84" s="338">
        <f>'Salary Record'!C421</f>
        <v>2</v>
      </c>
      <c r="H84" s="337">
        <f>'Salary Record'!I419</f>
        <v>86</v>
      </c>
      <c r="I84" s="337">
        <f>'Salary Record'!I418</f>
        <v>30</v>
      </c>
      <c r="J84" s="340">
        <f>'Salary Record'!K419</f>
        <v>12183.333333333332</v>
      </c>
      <c r="K84" s="340">
        <f>'Salary Record'!K420</f>
        <v>46183.333333333328</v>
      </c>
      <c r="L84" s="337">
        <f>'Salary Record'!G418</f>
        <v>26500</v>
      </c>
      <c r="M84" s="337">
        <f>'Salary Record'!G419</f>
        <v>5000</v>
      </c>
      <c r="N84" s="366">
        <f>'Salary Record'!G420</f>
        <v>31500</v>
      </c>
      <c r="O84" s="337">
        <f>'Salary Record'!G421</f>
        <v>10000</v>
      </c>
      <c r="P84" s="366">
        <f>'Salary Record'!G422</f>
        <v>21500</v>
      </c>
      <c r="Q84" s="367">
        <f>'Salary Record'!K422</f>
        <v>36183.333333333328</v>
      </c>
      <c r="R84" s="342"/>
      <c r="S84" s="343"/>
      <c r="T84" s="343"/>
      <c r="V84" s="343"/>
      <c r="X84" s="343"/>
    </row>
    <row r="85" spans="1:26" s="276" customFormat="1" ht="16.149999999999999" customHeight="1" x14ac:dyDescent="0.2">
      <c r="A85" s="359">
        <v>8</v>
      </c>
      <c r="B85" s="282" t="s">
        <v>55</v>
      </c>
      <c r="C85" s="319"/>
      <c r="D85" s="320"/>
      <c r="E85" s="304">
        <f>'Salary Record'!K204</f>
        <v>35000</v>
      </c>
      <c r="F85" s="304">
        <f>'Salary Record'!C210</f>
        <v>30</v>
      </c>
      <c r="G85" s="305">
        <f>'Salary Record'!C211</f>
        <v>0</v>
      </c>
      <c r="H85" s="304">
        <f>'Salary Record'!I209</f>
        <v>59</v>
      </c>
      <c r="I85" s="304">
        <f>'Salary Record'!I208</f>
        <v>30</v>
      </c>
      <c r="J85" s="321">
        <f>'Salary Record'!K209</f>
        <v>8604.1666666666679</v>
      </c>
      <c r="K85" s="310">
        <f>'Salary Record'!K210</f>
        <v>43604.166666666672</v>
      </c>
      <c r="L85" s="306">
        <f>'Salary Record'!G208</f>
        <v>44000</v>
      </c>
      <c r="M85" s="310">
        <f>'Salary Record'!G209</f>
        <v>0</v>
      </c>
      <c r="N85" s="308">
        <f>'Salary Record'!G210</f>
        <v>44000</v>
      </c>
      <c r="O85" s="310">
        <f>'Salary Record'!G211</f>
        <v>5000</v>
      </c>
      <c r="P85" s="308">
        <f>'Salary Record'!G212</f>
        <v>39000</v>
      </c>
      <c r="Q85" s="306">
        <f>'Salary Record'!K212</f>
        <v>38604.166666666672</v>
      </c>
      <c r="R85" s="331" t="s">
        <v>56</v>
      </c>
      <c r="S85" s="331" t="s">
        <v>57</v>
      </c>
      <c r="T85" s="331"/>
      <c r="U85" s="332"/>
      <c r="V85" s="332"/>
      <c r="W85" s="332"/>
      <c r="X85" s="332"/>
      <c r="Y85" s="332"/>
      <c r="Z85" s="332"/>
    </row>
    <row r="86" spans="1:26" s="276" customFormat="1" ht="16.149999999999999" customHeight="1" x14ac:dyDescent="0.2">
      <c r="A86" s="359">
        <v>9</v>
      </c>
      <c r="B86" s="282" t="s">
        <v>58</v>
      </c>
      <c r="C86" s="319"/>
      <c r="D86" s="320"/>
      <c r="E86" s="304">
        <f>'Salary Record'!K144</f>
        <v>40000</v>
      </c>
      <c r="F86" s="304">
        <f>'Salary Record'!C150</f>
        <v>30</v>
      </c>
      <c r="G86" s="305">
        <f>'Salary Record'!C151</f>
        <v>0</v>
      </c>
      <c r="H86" s="304">
        <f>'Salary Record'!I149</f>
        <v>75</v>
      </c>
      <c r="I86" s="304">
        <f>'Salary Record'!I148</f>
        <v>30</v>
      </c>
      <c r="J86" s="321">
        <f>'Salary Record'!K149</f>
        <v>12500</v>
      </c>
      <c r="K86" s="310">
        <f>'Salary Record'!K150</f>
        <v>52500</v>
      </c>
      <c r="L86" s="306">
        <f>'Salary Record'!G148</f>
        <v>30867</v>
      </c>
      <c r="M86" s="310">
        <f>'Salary Record'!G149</f>
        <v>5000</v>
      </c>
      <c r="N86" s="308">
        <f>'Salary Record'!G150</f>
        <v>35867</v>
      </c>
      <c r="O86" s="310">
        <f>'Salary Record'!G151</f>
        <v>5000</v>
      </c>
      <c r="P86" s="308">
        <f>'Salary Record'!G152</f>
        <v>30867</v>
      </c>
      <c r="Q86" s="494">
        <f>'Salary Record'!K152</f>
        <v>47500</v>
      </c>
      <c r="R86" s="331" t="s">
        <v>59</v>
      </c>
      <c r="S86" s="331" t="s">
        <v>60</v>
      </c>
      <c r="T86" s="331"/>
      <c r="U86" s="332"/>
      <c r="V86" s="332"/>
      <c r="W86" s="332"/>
      <c r="X86" s="332"/>
      <c r="Y86" s="332"/>
      <c r="Z86" s="332"/>
    </row>
    <row r="87" spans="1:26" s="276" customFormat="1" ht="16.149999999999999" customHeight="1" x14ac:dyDescent="0.3">
      <c r="A87" s="359">
        <v>10</v>
      </c>
      <c r="B87" s="282" t="str">
        <f>'Salary Record'!C896</f>
        <v>Mateen</v>
      </c>
      <c r="C87" s="319"/>
      <c r="D87" s="320"/>
      <c r="E87" s="304">
        <f>'Salary Record'!K895</f>
        <v>30000</v>
      </c>
      <c r="F87" s="304">
        <f>'Salary Record'!C901</f>
        <v>15</v>
      </c>
      <c r="G87" s="305">
        <f>'Salary Record'!C902</f>
        <v>0</v>
      </c>
      <c r="H87" s="304">
        <f>'Salary Record'!I900</f>
        <v>0</v>
      </c>
      <c r="I87" s="304">
        <f>'Salary Record'!I899</f>
        <v>15</v>
      </c>
      <c r="J87" s="321">
        <f>'Salary Record'!K900</f>
        <v>0</v>
      </c>
      <c r="K87" s="310">
        <f>'Salary Record'!K901</f>
        <v>15000</v>
      </c>
      <c r="L87" s="306">
        <f>'Salary Record'!G899</f>
        <v>0</v>
      </c>
      <c r="M87" s="310">
        <f>'Salary Record'!G900</f>
        <v>0</v>
      </c>
      <c r="N87" s="308">
        <f>'Salary Record'!G901</f>
        <v>0</v>
      </c>
      <c r="O87" s="310">
        <f>'Salary Record'!G902</f>
        <v>0</v>
      </c>
      <c r="P87" s="308">
        <f>'Salary Record'!G903</f>
        <v>0</v>
      </c>
      <c r="Q87" s="306">
        <f>'Salary Record'!K903</f>
        <v>15000</v>
      </c>
      <c r="R87" s="322"/>
      <c r="S87" s="323"/>
      <c r="T87" s="324"/>
      <c r="U87" s="324"/>
      <c r="V87" s="323"/>
      <c r="W87" s="323"/>
      <c r="X87" s="323"/>
      <c r="Y87" s="323"/>
      <c r="Z87" s="323"/>
    </row>
    <row r="88" spans="1:26" s="276" customFormat="1" ht="16.149999999999999" customHeight="1" x14ac:dyDescent="0.3">
      <c r="A88" s="359">
        <v>11</v>
      </c>
      <c r="B88" s="394" t="str">
        <f>'Salary Record'!C912</f>
        <v>Laraib</v>
      </c>
      <c r="C88" s="319"/>
      <c r="D88" s="320"/>
      <c r="E88" s="395">
        <f>'Salary Record'!K911</f>
        <v>38000</v>
      </c>
      <c r="F88" s="304">
        <f>'Salary Record'!C917</f>
        <v>29</v>
      </c>
      <c r="G88" s="305">
        <f>'Salary Record'!C918</f>
        <v>1</v>
      </c>
      <c r="H88" s="304">
        <f>'Salary Record'!I916</f>
        <v>0</v>
      </c>
      <c r="I88" s="304">
        <f>'Salary Record'!I915</f>
        <v>29</v>
      </c>
      <c r="J88" s="321">
        <f>'Salary Record'!K916</f>
        <v>0</v>
      </c>
      <c r="K88" s="310">
        <f>'Salary Record'!K917</f>
        <v>36733.333333333336</v>
      </c>
      <c r="L88" s="306">
        <f>'Salary Record'!G915</f>
        <v>0</v>
      </c>
      <c r="M88" s="310">
        <f>'Salary Record'!G916</f>
        <v>0</v>
      </c>
      <c r="N88" s="308">
        <f>'Salary Record'!G917</f>
        <v>0</v>
      </c>
      <c r="O88" s="310">
        <f>'Salary Record'!G918</f>
        <v>0</v>
      </c>
      <c r="P88" s="308">
        <f>'Salary Record'!G919</f>
        <v>0</v>
      </c>
      <c r="Q88" s="306">
        <f>'Salary Record'!K919</f>
        <v>36733.333333333336</v>
      </c>
      <c r="R88" s="322"/>
      <c r="S88" s="323"/>
      <c r="T88" s="324"/>
      <c r="U88" s="324"/>
      <c r="V88" s="323"/>
      <c r="W88" s="323"/>
      <c r="X88" s="323"/>
      <c r="Y88" s="323"/>
      <c r="Z88" s="323"/>
    </row>
    <row r="89" spans="1:26" s="276" customFormat="1" ht="15.75" customHeight="1" x14ac:dyDescent="0.3">
      <c r="A89" s="359">
        <v>12</v>
      </c>
      <c r="B89" s="282" t="s">
        <v>297</v>
      </c>
      <c r="C89" s="319"/>
      <c r="D89" s="320"/>
      <c r="E89" s="304">
        <f>'Salary Record'!K927</f>
        <v>35000</v>
      </c>
      <c r="F89" s="304">
        <f>'Salary Record'!C933</f>
        <v>29</v>
      </c>
      <c r="G89" s="305">
        <f>'Salary Record'!C934</f>
        <v>1</v>
      </c>
      <c r="H89" s="304">
        <f>'Salary Record'!I932</f>
        <v>0</v>
      </c>
      <c r="I89" s="304">
        <f>'Salary Record'!I931</f>
        <v>29</v>
      </c>
      <c r="J89" s="321">
        <f>'Salary Record'!K932</f>
        <v>0</v>
      </c>
      <c r="K89" s="310">
        <f>'Salary Record'!K933</f>
        <v>33833.333333333336</v>
      </c>
      <c r="L89" s="306">
        <f>'Salary Record'!G931</f>
        <v>0</v>
      </c>
      <c r="M89" s="310">
        <f>'Salary Record'!G932</f>
        <v>0</v>
      </c>
      <c r="N89" s="308">
        <f>'Salary Record'!G933</f>
        <v>0</v>
      </c>
      <c r="O89" s="310">
        <f>'Salary Record'!G934</f>
        <v>0</v>
      </c>
      <c r="P89" s="308">
        <f>'Salary Record'!G935</f>
        <v>0</v>
      </c>
      <c r="Q89" s="306">
        <f>'Salary Record'!K935</f>
        <v>33833.333333333336</v>
      </c>
      <c r="R89" s="322"/>
      <c r="S89" s="323"/>
      <c r="T89" s="324"/>
      <c r="U89" s="324"/>
      <c r="V89" s="323"/>
      <c r="W89" s="323"/>
      <c r="X89" s="323"/>
      <c r="Y89" s="323"/>
      <c r="Z89" s="323"/>
    </row>
    <row r="90" spans="1:26" s="276" customFormat="1" ht="16.149999999999999" customHeight="1" x14ac:dyDescent="0.3">
      <c r="A90" s="359">
        <v>13</v>
      </c>
      <c r="B90" s="282" t="str">
        <f>'Salary Record'!C976</f>
        <v>Nizamudin</v>
      </c>
      <c r="C90" s="319"/>
      <c r="D90" s="320"/>
      <c r="E90" s="304">
        <f>'Salary Record'!K975</f>
        <v>30000</v>
      </c>
      <c r="F90" s="304">
        <f>'Salary Record'!C981</f>
        <v>20</v>
      </c>
      <c r="G90" s="305">
        <f>'Salary Record'!C982</f>
        <v>10</v>
      </c>
      <c r="H90" s="304">
        <f>'Salary Record'!I980</f>
        <v>8</v>
      </c>
      <c r="I90" s="304">
        <f>'Salary Record'!I979</f>
        <v>20</v>
      </c>
      <c r="J90" s="321">
        <f>'Salary Record'!K980</f>
        <v>1000</v>
      </c>
      <c r="K90" s="310">
        <f>'Salary Record'!K981</f>
        <v>21000</v>
      </c>
      <c r="L90" s="306" t="str">
        <f>'Salary Record'!G979</f>
        <v/>
      </c>
      <c r="M90" s="310">
        <f>'Salary Record'!G980</f>
        <v>3000</v>
      </c>
      <c r="N90" s="308">
        <f>'Salary Record'!G981</f>
        <v>3000</v>
      </c>
      <c r="O90" s="310">
        <f>'Salary Record'!G982</f>
        <v>0</v>
      </c>
      <c r="P90" s="308">
        <f>'Salary Record'!G983</f>
        <v>3000</v>
      </c>
      <c r="Q90" s="306">
        <f>'Salary Record'!K983</f>
        <v>21000</v>
      </c>
      <c r="R90" s="322"/>
      <c r="S90" s="323">
        <v>150000</v>
      </c>
      <c r="T90" s="324"/>
      <c r="U90" s="324"/>
      <c r="V90" s="323"/>
      <c r="W90" s="323"/>
      <c r="X90" s="323"/>
      <c r="Y90" s="323"/>
      <c r="Z90" s="323"/>
    </row>
    <row r="91" spans="1:26" s="276" customFormat="1" ht="16.149999999999999" customHeight="1" x14ac:dyDescent="0.3">
      <c r="A91" s="359">
        <v>14</v>
      </c>
      <c r="B91" s="282" t="str">
        <f>'Salary Record'!C220</f>
        <v>Irfan AC</v>
      </c>
      <c r="C91" s="319"/>
      <c r="D91" s="320"/>
      <c r="E91" s="304">
        <f>'Salary Record'!K219</f>
        <v>45000</v>
      </c>
      <c r="F91" s="304">
        <f>'Salary Record'!C225</f>
        <v>30</v>
      </c>
      <c r="G91" s="305">
        <f>'Salary Record'!C226</f>
        <v>0</v>
      </c>
      <c r="H91" s="304">
        <f>'Salary Record'!I224</f>
        <v>66</v>
      </c>
      <c r="I91" s="304">
        <f>'Salary Record'!I223</f>
        <v>30</v>
      </c>
      <c r="J91" s="321">
        <f>'Salary Record'!K224</f>
        <v>12375</v>
      </c>
      <c r="K91" s="310">
        <f>'Salary Record'!K225</f>
        <v>57375</v>
      </c>
      <c r="L91" s="306">
        <f>'Salary Record'!G223</f>
        <v>0</v>
      </c>
      <c r="M91" s="310">
        <f>'Salary Record'!G224</f>
        <v>10000</v>
      </c>
      <c r="N91" s="308">
        <f>'Salary Record'!G225</f>
        <v>10000</v>
      </c>
      <c r="O91" s="310">
        <f>'Salary Record'!G226</f>
        <v>10000</v>
      </c>
      <c r="P91" s="308">
        <f>'Salary Record'!G227</f>
        <v>0</v>
      </c>
      <c r="Q91" s="306">
        <f>'Salary Record'!K227</f>
        <v>47375</v>
      </c>
      <c r="R91" s="322"/>
      <c r="S91" s="323">
        <v>200000</v>
      </c>
      <c r="T91" s="324"/>
      <c r="U91" s="324"/>
      <c r="V91" s="323"/>
      <c r="W91" s="323"/>
      <c r="X91" s="323"/>
      <c r="Y91" s="323"/>
      <c r="Z91" s="323"/>
    </row>
    <row r="92" spans="1:26" s="276" customFormat="1" ht="16.149999999999999" customHeight="1" x14ac:dyDescent="0.3">
      <c r="A92" s="359">
        <v>15</v>
      </c>
      <c r="B92" s="282" t="str">
        <f>'Salary Record'!C1075</f>
        <v>Noman Ahmed</v>
      </c>
      <c r="C92" s="319"/>
      <c r="D92" s="320"/>
      <c r="E92" s="304">
        <f>'Salary Record'!K1074</f>
        <v>45000</v>
      </c>
      <c r="F92" s="304">
        <f>'Salary Record'!C1080</f>
        <v>30</v>
      </c>
      <c r="G92" s="305">
        <f>'Salary Record'!C1081</f>
        <v>0</v>
      </c>
      <c r="H92" s="304">
        <f>'Salary Record'!I1079</f>
        <v>0</v>
      </c>
      <c r="I92" s="304">
        <f>'Salary Record'!I1078</f>
        <v>30</v>
      </c>
      <c r="J92" s="321">
        <f>'Salary Record'!K1079</f>
        <v>0</v>
      </c>
      <c r="K92" s="310">
        <f>'Salary Record'!K1080</f>
        <v>45000</v>
      </c>
      <c r="L92" s="306">
        <f>'Salary Record'!G1078</f>
        <v>0</v>
      </c>
      <c r="M92" s="310">
        <f>'Salary Record'!G1079</f>
        <v>5000</v>
      </c>
      <c r="N92" s="308">
        <f>'Salary Record'!G1080</f>
        <v>5000</v>
      </c>
      <c r="O92" s="310">
        <f>'Salary Record'!G1081</f>
        <v>5000</v>
      </c>
      <c r="P92" s="308">
        <f>'Salary Record'!G1082</f>
        <v>0</v>
      </c>
      <c r="Q92" s="306">
        <f>'Salary Record'!K1082</f>
        <v>40000</v>
      </c>
      <c r="R92" s="322"/>
      <c r="S92" s="323">
        <v>160000</v>
      </c>
      <c r="T92" s="324"/>
      <c r="U92" s="324"/>
      <c r="V92" s="323"/>
      <c r="W92" s="323"/>
      <c r="X92" s="323"/>
      <c r="Y92" s="323"/>
      <c r="Z92" s="323"/>
    </row>
    <row r="93" spans="1:26" s="276" customFormat="1" ht="16.5" customHeight="1" x14ac:dyDescent="0.3">
      <c r="A93" s="359">
        <v>16</v>
      </c>
      <c r="B93" s="282" t="str">
        <f>'Salary Record'!C960</f>
        <v>Jawed</v>
      </c>
      <c r="C93" s="319"/>
      <c r="D93" s="320"/>
      <c r="E93" s="304">
        <f>'Salary Record'!K959</f>
        <v>30000</v>
      </c>
      <c r="F93" s="304">
        <f>'Salary Record'!C965</f>
        <v>10</v>
      </c>
      <c r="G93" s="305">
        <f>'Salary Record'!C966</f>
        <v>20</v>
      </c>
      <c r="H93" s="304">
        <f>'Salary Record'!I964</f>
        <v>0</v>
      </c>
      <c r="I93" s="304">
        <f>'Salary Record'!I963</f>
        <v>10</v>
      </c>
      <c r="J93" s="321">
        <f>'Salary Record'!K964</f>
        <v>0</v>
      </c>
      <c r="K93" s="398">
        <f>'Salary Record'!K965</f>
        <v>10000</v>
      </c>
      <c r="L93" s="306">
        <f>'Salary Record'!G963</f>
        <v>0</v>
      </c>
      <c r="M93" s="310">
        <f>'Salary Record'!G964</f>
        <v>0</v>
      </c>
      <c r="N93" s="308">
        <f>'Salary Record'!G965</f>
        <v>0</v>
      </c>
      <c r="O93" s="310">
        <f>'Salary Record'!G966</f>
        <v>0</v>
      </c>
      <c r="P93" s="308">
        <f>'Salary Record'!G967</f>
        <v>0</v>
      </c>
      <c r="Q93" s="306">
        <f>'Salary Record'!K967</f>
        <v>10000</v>
      </c>
      <c r="R93" s="322"/>
      <c r="S93" s="323"/>
      <c r="T93" s="324"/>
      <c r="U93" s="324"/>
      <c r="V93" s="323"/>
      <c r="W93" s="323"/>
      <c r="X93" s="323"/>
      <c r="Y93" s="323"/>
      <c r="Z93" s="323"/>
    </row>
    <row r="94" spans="1:26" s="276" customFormat="1" ht="15.75" customHeight="1" x14ac:dyDescent="0.3">
      <c r="A94" s="359">
        <v>17</v>
      </c>
      <c r="B94" s="282" t="str">
        <f>'Salary Record'!C1059</f>
        <v>Syed Tauqeer Hussain</v>
      </c>
      <c r="C94" s="319"/>
      <c r="D94" s="320"/>
      <c r="E94" s="304">
        <f>'Salary Record'!K1058</f>
        <v>70000</v>
      </c>
      <c r="F94" s="304">
        <f>'Salary Record'!C1064</f>
        <v>13</v>
      </c>
      <c r="G94" s="305">
        <f>'Salary Record'!C1065</f>
        <v>17</v>
      </c>
      <c r="H94" s="304">
        <f>'Salary Record'!I1063</f>
        <v>0</v>
      </c>
      <c r="I94" s="304">
        <f>'Salary Record'!I1062</f>
        <v>13</v>
      </c>
      <c r="J94" s="321">
        <f>'Salary Record'!K1063</f>
        <v>0</v>
      </c>
      <c r="K94" s="310">
        <f>'Salary Record'!K1064</f>
        <v>30333.333333333336</v>
      </c>
      <c r="L94" s="306">
        <f>'Salary Record'!G1062</f>
        <v>0</v>
      </c>
      <c r="M94" s="310">
        <f>'Salary Record'!G1063</f>
        <v>30000</v>
      </c>
      <c r="N94" s="308">
        <f>'Salary Record'!G1064</f>
        <v>30000</v>
      </c>
      <c r="O94" s="310">
        <f>'Salary Record'!G1065</f>
        <v>30000</v>
      </c>
      <c r="P94" s="308">
        <f>'Salary Record'!G1066</f>
        <v>0</v>
      </c>
      <c r="Q94" s="306">
        <f>'Salary Record'!K1066</f>
        <v>333.33333333333576</v>
      </c>
      <c r="R94" s="322"/>
      <c r="S94" s="323">
        <v>200000</v>
      </c>
      <c r="T94" s="324"/>
      <c r="U94" s="324"/>
      <c r="V94" s="323"/>
      <c r="W94" s="323"/>
      <c r="X94" s="323"/>
      <c r="Y94" s="323"/>
      <c r="Z94" s="323"/>
    </row>
    <row r="95" spans="1:26" s="276" customFormat="1" ht="17.45" customHeight="1" x14ac:dyDescent="0.2">
      <c r="A95" s="359">
        <v>18</v>
      </c>
      <c r="B95" s="302" t="str">
        <f>'Salary Record'!C689</f>
        <v>Noman Ali Sheikh Ansari</v>
      </c>
      <c r="C95" s="319" t="s">
        <v>52</v>
      </c>
      <c r="D95" s="320">
        <f>SUM(Q30:Q99)</f>
        <v>4922731.2500000019</v>
      </c>
      <c r="E95" s="304">
        <f>'Salary Record'!K688</f>
        <v>70000</v>
      </c>
      <c r="F95" s="304">
        <f>'Salary Record'!C694</f>
        <v>30</v>
      </c>
      <c r="G95" s="305">
        <f>'Salary Record'!C695</f>
        <v>0</v>
      </c>
      <c r="H95" s="304">
        <f>'Salary Record'!I693</f>
        <v>0</v>
      </c>
      <c r="I95" s="304">
        <f>'Salary Record'!I692</f>
        <v>30</v>
      </c>
      <c r="J95" s="309">
        <f>'Salary Record'!K693</f>
        <v>0</v>
      </c>
      <c r="K95" s="309">
        <f>'Salary Record'!K694</f>
        <v>70000</v>
      </c>
      <c r="L95" s="306">
        <f>'Salary Record'!G692</f>
        <v>0</v>
      </c>
      <c r="M95" s="310">
        <f>'Salary Record'!G693</f>
        <v>0</v>
      </c>
      <c r="N95" s="308">
        <f>'Salary Record'!G694</f>
        <v>0</v>
      </c>
      <c r="O95" s="310">
        <f>'Salary Record'!G695</f>
        <v>0</v>
      </c>
      <c r="P95" s="308">
        <f>'Salary Record'!G696</f>
        <v>0</v>
      </c>
      <c r="Q95" s="494">
        <f>'Salary Record'!K696</f>
        <v>70000</v>
      </c>
      <c r="R95" s="331"/>
      <c r="S95" s="331"/>
      <c r="T95" s="331"/>
      <c r="U95" s="332"/>
      <c r="V95" s="332"/>
      <c r="W95" s="332"/>
      <c r="X95" s="332"/>
      <c r="Y95" s="332"/>
      <c r="Z95" s="332"/>
    </row>
    <row r="96" spans="1:26" s="276" customFormat="1" ht="16.149999999999999" customHeight="1" x14ac:dyDescent="0.3">
      <c r="A96" s="359">
        <v>19</v>
      </c>
      <c r="B96" s="282" t="s">
        <v>300</v>
      </c>
      <c r="C96" s="319"/>
      <c r="D96" s="320"/>
      <c r="E96" s="304">
        <f>'Salary Record'!K943</f>
        <v>40000</v>
      </c>
      <c r="F96" s="304">
        <f>'Salary Record'!C949</f>
        <v>30</v>
      </c>
      <c r="G96" s="305">
        <f>'Salary Record'!C950</f>
        <v>0</v>
      </c>
      <c r="H96" s="304">
        <f>'Salary Record'!I948</f>
        <v>0</v>
      </c>
      <c r="I96" s="304">
        <f>'Salary Record'!I947</f>
        <v>30</v>
      </c>
      <c r="J96" s="321">
        <f>'Salary Record'!K948</f>
        <v>0</v>
      </c>
      <c r="K96" s="310">
        <f>'Salary Record'!K949</f>
        <v>40000</v>
      </c>
      <c r="L96" s="306">
        <f>'Salary Record'!G947</f>
        <v>0</v>
      </c>
      <c r="M96" s="310">
        <f>'Salary Record'!G948</f>
        <v>0</v>
      </c>
      <c r="N96" s="308">
        <f>'Salary Record'!G949</f>
        <v>0</v>
      </c>
      <c r="O96" s="310">
        <f>'Salary Record'!G950</f>
        <v>0</v>
      </c>
      <c r="P96" s="308">
        <f>'Salary Record'!G951</f>
        <v>0</v>
      </c>
      <c r="Q96" s="494">
        <f>'Salary Record'!K951</f>
        <v>40000</v>
      </c>
      <c r="R96" s="322"/>
      <c r="S96" s="323">
        <v>350000</v>
      </c>
      <c r="T96" s="324"/>
      <c r="U96" s="324"/>
      <c r="V96" s="323"/>
      <c r="W96" s="323"/>
      <c r="X96" s="323"/>
      <c r="Y96" s="323"/>
      <c r="Z96" s="323"/>
    </row>
    <row r="97" spans="1:26" s="276" customFormat="1" ht="22.5" customHeight="1" x14ac:dyDescent="0.3">
      <c r="A97" s="359">
        <v>20</v>
      </c>
      <c r="B97" s="397" t="str">
        <f>'Salary Record'!C550</f>
        <v>Moiz</v>
      </c>
      <c r="C97" s="328"/>
      <c r="D97" s="329"/>
      <c r="E97" s="310">
        <f>'Salary Record'!K549</f>
        <v>35000</v>
      </c>
      <c r="F97" s="310">
        <f>'Salary Record'!C555</f>
        <v>17</v>
      </c>
      <c r="G97" s="305">
        <f>'Salary Record'!C556</f>
        <v>13</v>
      </c>
      <c r="H97" s="310">
        <f>'Salary Record'!I554</f>
        <v>0</v>
      </c>
      <c r="I97" s="310">
        <f>'Salary Record'!I553</f>
        <v>17</v>
      </c>
      <c r="J97" s="309">
        <f>'Salary Record'!K554</f>
        <v>0</v>
      </c>
      <c r="K97" s="310">
        <f>'Salary Record'!K555</f>
        <v>19833.333333333336</v>
      </c>
      <c r="L97" s="306">
        <f>'Salary Record'!U917</f>
        <v>0</v>
      </c>
      <c r="M97" s="306">
        <f>'Salary Record'!G554</f>
        <v>0</v>
      </c>
      <c r="N97" s="306">
        <f>'Salary Record'!G555</f>
        <v>0</v>
      </c>
      <c r="O97" s="306">
        <f>'Salary Record'!G556</f>
        <v>0</v>
      </c>
      <c r="P97" s="306">
        <f>'Salary Record'!G557</f>
        <v>0</v>
      </c>
      <c r="Q97" s="494">
        <f>'Salary Record'!K557</f>
        <v>19833.333333333336</v>
      </c>
      <c r="R97" s="331"/>
      <c r="S97" s="331"/>
      <c r="T97" s="324"/>
      <c r="U97" s="332"/>
      <c r="V97" s="332"/>
      <c r="W97" s="332"/>
      <c r="X97" s="332"/>
      <c r="Y97" s="332"/>
      <c r="Z97" s="332"/>
    </row>
    <row r="98" spans="1:26" s="276" customFormat="1" ht="22.5" customHeight="1" x14ac:dyDescent="0.3">
      <c r="A98" s="497"/>
      <c r="B98" s="498" t="s">
        <v>347</v>
      </c>
      <c r="C98" s="499"/>
      <c r="D98" s="500"/>
      <c r="E98" s="310"/>
      <c r="F98" s="310"/>
      <c r="G98" s="305"/>
      <c r="H98" s="310"/>
      <c r="I98" s="310"/>
      <c r="J98" s="309"/>
      <c r="K98" s="310"/>
      <c r="L98" s="306"/>
      <c r="M98" s="306"/>
      <c r="N98" s="306"/>
      <c r="O98" s="306"/>
      <c r="P98" s="306"/>
      <c r="Q98" s="494"/>
      <c r="R98" s="331"/>
      <c r="S98" s="331"/>
      <c r="T98" s="324"/>
      <c r="U98" s="332"/>
      <c r="V98" s="332"/>
      <c r="W98" s="332"/>
      <c r="X98" s="332"/>
      <c r="Y98" s="332"/>
      <c r="Z98" s="332"/>
    </row>
    <row r="99" spans="1:26" ht="16.899999999999999" customHeight="1" x14ac:dyDescent="0.3">
      <c r="A99" s="520" t="s">
        <v>23</v>
      </c>
      <c r="B99" s="521"/>
      <c r="C99" s="36"/>
      <c r="D99" s="36"/>
      <c r="E99" s="103">
        <f>SUM(E78:E97)</f>
        <v>928000</v>
      </c>
      <c r="F99" s="493"/>
      <c r="G99" s="493"/>
      <c r="H99" s="493"/>
      <c r="I99" s="493"/>
      <c r="J99" s="103">
        <f>SUM(J78:J97)</f>
        <v>111795.83333333333</v>
      </c>
      <c r="K99" s="38">
        <f>SUM(K78:K97)</f>
        <v>909195.83333333349</v>
      </c>
      <c r="L99" s="36"/>
      <c r="M99" s="36"/>
      <c r="N99" s="36"/>
      <c r="O99" s="36"/>
      <c r="P99" s="36"/>
      <c r="Q99" s="38">
        <f>SUM(Q78:Q97)</f>
        <v>832195.83333333349</v>
      </c>
      <c r="R99" s="39"/>
      <c r="S99" s="40"/>
      <c r="T99" s="41"/>
      <c r="U99" s="41"/>
      <c r="V99" s="40"/>
      <c r="W99" s="40"/>
      <c r="X99" s="40"/>
      <c r="Y99" s="40"/>
      <c r="Z99" s="40"/>
    </row>
    <row r="100" spans="1:26" ht="12.75" customHeight="1" x14ac:dyDescent="0.3">
      <c r="A100" s="35"/>
      <c r="B100" s="104"/>
      <c r="C100" s="105"/>
      <c r="D100" s="105"/>
      <c r="E100" s="26"/>
      <c r="F100" s="105"/>
      <c r="G100" s="105"/>
      <c r="H100" s="105"/>
      <c r="I100" s="105"/>
      <c r="J100" s="26"/>
      <c r="K100" s="106"/>
      <c r="L100" s="36"/>
      <c r="M100" s="36"/>
      <c r="N100" s="36"/>
      <c r="O100" s="36"/>
      <c r="P100" s="36"/>
      <c r="Q100" s="107"/>
      <c r="R100" s="41"/>
      <c r="S100" s="40"/>
      <c r="T100" s="41"/>
      <c r="U100" s="40"/>
      <c r="V100" s="40"/>
      <c r="W100" s="40"/>
      <c r="X100" s="40"/>
      <c r="Y100" s="40"/>
      <c r="Z100" s="40"/>
    </row>
    <row r="101" spans="1:26" ht="21" customHeight="1" x14ac:dyDescent="0.2">
      <c r="A101" s="522" t="s">
        <v>61</v>
      </c>
      <c r="B101" s="502"/>
      <c r="C101" s="108"/>
      <c r="D101" s="108"/>
      <c r="E101" s="109">
        <f>SUM(E4+E5+E75+E56+E47+E37+E30+E23+E11+E99)</f>
        <v>3041500</v>
      </c>
      <c r="F101" s="108"/>
      <c r="G101" s="108"/>
      <c r="H101" s="108"/>
      <c r="I101" s="108"/>
      <c r="J101" s="109">
        <f>SUM(J4+J5+J75+J56+J47+J37+J30+J23+J11+J99)</f>
        <v>307793.75</v>
      </c>
      <c r="K101" s="110"/>
      <c r="L101" s="111">
        <f>SUM(L4:L99)</f>
        <v>833422</v>
      </c>
      <c r="M101" s="111">
        <f>SUM(M4:M99)</f>
        <v>143370</v>
      </c>
      <c r="N101" s="111">
        <f>SUM(N4:N99)</f>
        <v>976792</v>
      </c>
      <c r="O101" s="111">
        <f>SUM(O4:O99)</f>
        <v>151000</v>
      </c>
      <c r="P101" s="111">
        <f>SUM(P4:P99)</f>
        <v>820792</v>
      </c>
      <c r="Q101" s="490">
        <f>SUM(Q4+Q5++Q75+Q56+Q47+Q37+Q30+Q23+Q11+Q99)</f>
        <v>2952593.7500000005</v>
      </c>
      <c r="R101" s="112" t="s">
        <v>337</v>
      </c>
      <c r="S101" s="13">
        <v>1300000</v>
      </c>
      <c r="T101" s="13"/>
      <c r="U101" s="72"/>
    </row>
    <row r="102" spans="1:26" ht="20.25" customHeight="1" x14ac:dyDescent="0.2">
      <c r="A102" s="501" t="s">
        <v>62</v>
      </c>
      <c r="B102" s="502"/>
      <c r="C102" s="502"/>
      <c r="D102" s="502"/>
      <c r="E102" s="502"/>
      <c r="F102" s="502"/>
      <c r="G102" s="502"/>
      <c r="H102" s="502"/>
      <c r="I102" s="502"/>
      <c r="J102" s="502"/>
      <c r="K102" s="502"/>
      <c r="L102" s="502"/>
      <c r="M102" s="502"/>
      <c r="N102" s="502"/>
      <c r="O102" s="502"/>
      <c r="P102" s="503"/>
      <c r="Q102" s="496">
        <f>Q75+Q14+Q15+Q16+Q21+Q22+Q19+Q18</f>
        <v>1194791.6666666667</v>
      </c>
      <c r="R102" s="112" t="s">
        <v>260</v>
      </c>
      <c r="S102" s="13">
        <v>50000</v>
      </c>
      <c r="T102" s="13"/>
      <c r="U102" s="13"/>
    </row>
    <row r="103" spans="1:26" ht="20.25" customHeight="1" x14ac:dyDescent="0.2">
      <c r="A103" s="501" t="s">
        <v>63</v>
      </c>
      <c r="B103" s="502"/>
      <c r="C103" s="502"/>
      <c r="D103" s="502"/>
      <c r="E103" s="502"/>
      <c r="F103" s="502"/>
      <c r="G103" s="502"/>
      <c r="H103" s="502"/>
      <c r="I103" s="502"/>
      <c r="J103" s="502"/>
      <c r="K103" s="502"/>
      <c r="L103" s="502"/>
      <c r="M103" s="502"/>
      <c r="N103" s="502"/>
      <c r="O103" s="502"/>
      <c r="P103" s="503"/>
      <c r="Q103" s="113">
        <f>Q101-Q102</f>
        <v>1757802.0833333337</v>
      </c>
      <c r="R103" s="112" t="s">
        <v>260</v>
      </c>
      <c r="S103" s="13">
        <v>52000</v>
      </c>
      <c r="T103" s="13"/>
      <c r="U103" s="13"/>
    </row>
    <row r="104" spans="1:26" ht="20.25" customHeight="1" x14ac:dyDescent="0.25">
      <c r="A104" s="114"/>
      <c r="B104" s="115"/>
      <c r="C104" s="115"/>
      <c r="D104" s="115"/>
      <c r="E104" s="115"/>
      <c r="F104" s="115"/>
      <c r="G104" s="115"/>
      <c r="H104" s="115"/>
      <c r="I104" s="115"/>
      <c r="J104" s="115"/>
      <c r="K104" s="116"/>
      <c r="L104" s="116"/>
      <c r="M104" s="116"/>
      <c r="N104" s="116"/>
      <c r="O104" s="117"/>
      <c r="P104" s="117"/>
      <c r="Q104" s="118"/>
      <c r="R104" s="112" t="s">
        <v>62</v>
      </c>
      <c r="S104" s="13">
        <f>Q102</f>
        <v>1194791.6666666667</v>
      </c>
      <c r="T104" s="13"/>
      <c r="U104" s="13"/>
    </row>
    <row r="105" spans="1:26" ht="12.75" customHeight="1" x14ac:dyDescent="0.25">
      <c r="A105" s="119"/>
      <c r="B105" s="120"/>
      <c r="C105" s="96"/>
      <c r="D105" s="97"/>
      <c r="E105" s="83"/>
      <c r="F105" s="83"/>
      <c r="G105" s="84"/>
      <c r="H105" s="87"/>
      <c r="I105" s="83"/>
      <c r="J105" s="85"/>
      <c r="K105" s="121"/>
      <c r="L105" s="83"/>
      <c r="M105" s="83"/>
      <c r="N105" s="86"/>
      <c r="O105" s="83"/>
      <c r="P105" s="86"/>
      <c r="Q105" s="122"/>
      <c r="R105" s="88"/>
      <c r="S105" s="13"/>
      <c r="T105" s="13"/>
      <c r="U105" s="13"/>
    </row>
    <row r="106" spans="1:26" ht="12.75" customHeight="1" x14ac:dyDescent="0.2">
      <c r="A106" s="123"/>
      <c r="B106" s="124"/>
      <c r="C106" s="124"/>
      <c r="D106" s="124"/>
      <c r="E106" s="125"/>
      <c r="F106" s="125"/>
      <c r="G106" s="126"/>
      <c r="H106" s="125"/>
      <c r="I106" s="125"/>
      <c r="J106" s="125"/>
      <c r="K106" s="125"/>
      <c r="L106" s="125"/>
      <c r="M106" s="125"/>
      <c r="N106" s="127"/>
      <c r="O106" s="125"/>
      <c r="P106" s="127"/>
      <c r="Q106" s="128"/>
      <c r="R106" s="13"/>
      <c r="S106" s="13">
        <f>SUM(S102:S105)</f>
        <v>1296791.6666666667</v>
      </c>
      <c r="T106" s="13"/>
    </row>
    <row r="107" spans="1:26" ht="21" hidden="1" customHeight="1" x14ac:dyDescent="0.2">
      <c r="A107" s="14">
        <v>2</v>
      </c>
      <c r="B107" s="102" t="s">
        <v>64</v>
      </c>
      <c r="C107" s="53" t="s">
        <v>65</v>
      </c>
      <c r="D107" s="20" t="e">
        <f>SUM(Q29:Q109)</f>
        <v>#REF!</v>
      </c>
      <c r="E107" s="19" t="e">
        <f>'Salary Record'!#REF!</f>
        <v>#REF!</v>
      </c>
      <c r="F107" s="19" t="e">
        <f>'Salary Record'!#REF!</f>
        <v>#REF!</v>
      </c>
      <c r="G107" s="25" t="e">
        <f>'Salary Record'!#REF!</f>
        <v>#REF!</v>
      </c>
      <c r="H107" s="19" t="e">
        <f>'Salary Record'!#REF!</f>
        <v>#REF!</v>
      </c>
      <c r="I107" s="19" t="e">
        <f>'Salary Record'!#REF!</f>
        <v>#REF!</v>
      </c>
      <c r="J107" s="18" t="e">
        <f>'Salary Record'!#REF!</f>
        <v>#REF!</v>
      </c>
      <c r="K107" s="19" t="e">
        <f>'Salary Record'!#REF!</f>
        <v>#REF!</v>
      </c>
      <c r="L107" s="26" t="e">
        <f>'Salary Record'!#REF!</f>
        <v>#REF!</v>
      </c>
      <c r="M107" s="26" t="e">
        <f>'Salary Record'!#REF!</f>
        <v>#REF!</v>
      </c>
      <c r="N107" s="20" t="e">
        <f>'Salary Record'!#REF!</f>
        <v>#REF!</v>
      </c>
      <c r="O107" s="19" t="e">
        <f>'Salary Record'!#REF!</f>
        <v>#REF!</v>
      </c>
      <c r="P107" s="20" t="e">
        <f>'Salary Record'!#REF!</f>
        <v>#REF!</v>
      </c>
      <c r="Q107" s="21" t="e">
        <f>'Salary Record'!#REF!</f>
        <v>#REF!</v>
      </c>
      <c r="R107" s="22"/>
      <c r="S107" s="22"/>
      <c r="T107" s="22"/>
      <c r="U107" s="23"/>
      <c r="V107" s="23"/>
      <c r="W107" s="23"/>
      <c r="X107" s="23"/>
      <c r="Y107" s="23"/>
      <c r="Z107" s="23"/>
    </row>
    <row r="108" spans="1:26" ht="12.75" hidden="1" customHeight="1" x14ac:dyDescent="0.25">
      <c r="A108" s="119"/>
      <c r="B108" s="130"/>
      <c r="C108" s="131" t="s">
        <v>66</v>
      </c>
      <c r="D108" s="70" t="e">
        <f>SUM(Q30:Q110)</f>
        <v>#REF!</v>
      </c>
      <c r="E108" s="121" t="e">
        <f>'Salary Record'!#REF!</f>
        <v>#REF!</v>
      </c>
      <c r="F108" s="121" t="e">
        <f>'Salary Record'!#REF!</f>
        <v>#REF!</v>
      </c>
      <c r="G108" s="132" t="e">
        <f>'Salary Record'!#REF!</f>
        <v>#REF!</v>
      </c>
      <c r="H108" s="121" t="e">
        <f>'Salary Record'!#REF!</f>
        <v>#REF!</v>
      </c>
      <c r="I108" s="121" t="e">
        <f>'Salary Record'!#REF!</f>
        <v>#REF!</v>
      </c>
      <c r="J108" s="85" t="e">
        <f>'Salary Record'!#REF!</f>
        <v>#REF!</v>
      </c>
      <c r="K108" s="85" t="e">
        <f>'Salary Record'!#REF!</f>
        <v>#REF!</v>
      </c>
      <c r="L108" s="83" t="e">
        <f>'Salary Record'!#REF!</f>
        <v>#REF!</v>
      </c>
      <c r="M108" s="121" t="e">
        <f>'Salary Record'!#REF!</f>
        <v>#REF!</v>
      </c>
      <c r="N108" s="86" t="e">
        <f>'Salary Record'!#REF!</f>
        <v>#REF!</v>
      </c>
      <c r="O108" s="121" t="e">
        <f>'Salary Record'!#REF!</f>
        <v>#REF!</v>
      </c>
      <c r="P108" s="86" t="e">
        <f>'Salary Record'!#REF!</f>
        <v>#REF!</v>
      </c>
      <c r="Q108" s="83" t="e">
        <f>'Salary Record'!#REF!</f>
        <v>#REF!</v>
      </c>
      <c r="R108" s="88"/>
      <c r="T108" s="13"/>
    </row>
    <row r="109" spans="1:26" ht="12.75" hidden="1" customHeight="1" x14ac:dyDescent="0.2">
      <c r="A109" s="123"/>
      <c r="B109" s="124"/>
      <c r="C109" s="124"/>
      <c r="D109" s="124"/>
      <c r="E109" s="125"/>
      <c r="F109" s="125"/>
      <c r="G109" s="126"/>
      <c r="H109" s="125"/>
      <c r="I109" s="125"/>
      <c r="J109" s="125"/>
      <c r="K109" s="125"/>
      <c r="L109" s="125"/>
      <c r="M109" s="125"/>
      <c r="N109" s="127"/>
      <c r="O109" s="125"/>
      <c r="P109" s="127"/>
      <c r="Q109" s="128"/>
      <c r="R109" s="129"/>
      <c r="T109" s="13"/>
    </row>
    <row r="110" spans="1:26" ht="12.75" hidden="1" customHeight="1" x14ac:dyDescent="0.25">
      <c r="A110" s="119">
        <v>3</v>
      </c>
      <c r="B110" s="130" t="s">
        <v>67</v>
      </c>
      <c r="C110" s="133" t="s">
        <v>68</v>
      </c>
      <c r="D110" s="65">
        <f>SUM(Q110)</f>
        <v>38208.333333333336</v>
      </c>
      <c r="E110" s="121">
        <f>'Salary Record'!K783</f>
        <v>35000</v>
      </c>
      <c r="F110" s="121">
        <f>'Salary Record'!C789</f>
        <v>29</v>
      </c>
      <c r="G110" s="132">
        <f>'Salary Record'!C790</f>
        <v>1</v>
      </c>
      <c r="H110" s="121">
        <f>'Salary Record'!I788</f>
        <v>30</v>
      </c>
      <c r="I110" s="121">
        <f>'Salary Record'!I787</f>
        <v>29</v>
      </c>
      <c r="J110" s="85">
        <f>'Salary Record'!K788</f>
        <v>4375</v>
      </c>
      <c r="K110" s="121">
        <f>'Salary Record'!K789</f>
        <v>38208.333333333336</v>
      </c>
      <c r="L110" s="83">
        <f>'Salary Record'!G787</f>
        <v>0</v>
      </c>
      <c r="M110" s="121">
        <f>'Salary Record'!G788</f>
        <v>0</v>
      </c>
      <c r="N110" s="86">
        <f>'Salary Record'!G789</f>
        <v>0</v>
      </c>
      <c r="O110" s="121">
        <f>'Salary Record'!G790</f>
        <v>0</v>
      </c>
      <c r="P110" s="86">
        <f>'Salary Record'!G791</f>
        <v>0</v>
      </c>
      <c r="Q110" s="87">
        <f>'Salary Record'!K791</f>
        <v>38208.333333333336</v>
      </c>
      <c r="R110" s="88"/>
      <c r="S110" s="13"/>
      <c r="T110" s="13"/>
    </row>
    <row r="111" spans="1:26" ht="12.75" hidden="1" customHeight="1" x14ac:dyDescent="0.3">
      <c r="A111" s="134"/>
      <c r="B111" s="504" t="s">
        <v>69</v>
      </c>
      <c r="C111" s="505"/>
      <c r="D111" s="505"/>
      <c r="E111" s="505"/>
      <c r="F111" s="505"/>
      <c r="G111" s="505"/>
      <c r="H111" s="505"/>
      <c r="I111" s="505"/>
      <c r="J111" s="505"/>
      <c r="K111" s="505"/>
      <c r="L111" s="506"/>
    </row>
    <row r="112" spans="1:26" ht="12.75" hidden="1" customHeight="1" x14ac:dyDescent="0.25">
      <c r="A112" s="134"/>
      <c r="B112" s="135" t="s">
        <v>70</v>
      </c>
      <c r="C112" s="136" t="s">
        <v>71</v>
      </c>
      <c r="D112" s="136" t="s">
        <v>72</v>
      </c>
      <c r="E112" s="137" t="str">
        <f>N1</f>
        <v>September</v>
      </c>
      <c r="F112" s="13"/>
      <c r="G112" s="13"/>
      <c r="H112" s="13"/>
      <c r="I112" s="13"/>
      <c r="J112" s="13"/>
    </row>
    <row r="113" spans="1:20" ht="12.75" hidden="1" customHeight="1" x14ac:dyDescent="0.2">
      <c r="A113" s="134"/>
      <c r="B113" s="138" t="s">
        <v>73</v>
      </c>
      <c r="C113" s="139">
        <v>100000</v>
      </c>
      <c r="D113" s="139">
        <v>100000</v>
      </c>
      <c r="E113" s="139">
        <v>25000</v>
      </c>
      <c r="F113" s="13"/>
      <c r="G113" s="13"/>
      <c r="H113" s="13"/>
      <c r="I113" s="13"/>
      <c r="J113" s="13"/>
      <c r="K113" s="13"/>
    </row>
    <row r="114" spans="1:20" ht="12.75" hidden="1" customHeight="1" x14ac:dyDescent="0.2">
      <c r="A114" s="134"/>
      <c r="B114" s="138" t="s">
        <v>74</v>
      </c>
      <c r="C114" s="139"/>
      <c r="D114" s="139"/>
      <c r="E114" s="139">
        <v>25000</v>
      </c>
      <c r="F114" s="13"/>
      <c r="G114" s="13"/>
      <c r="H114" s="13"/>
      <c r="I114" s="13"/>
      <c r="J114" s="13"/>
    </row>
    <row r="115" spans="1:20" ht="12.75" hidden="1" customHeight="1" x14ac:dyDescent="0.2">
      <c r="A115" s="134"/>
      <c r="B115" s="138" t="s">
        <v>75</v>
      </c>
      <c r="C115" s="139"/>
      <c r="D115" s="139"/>
      <c r="E115" s="139">
        <v>25000</v>
      </c>
      <c r="F115" s="13"/>
      <c r="G115" s="13"/>
      <c r="H115" s="13"/>
      <c r="I115" s="13" t="e">
        <f>#REF!+#REF!+Q75+Q56+#REF!+Q47+Q37+Q30+Q23+Q5</f>
        <v>#REF!</v>
      </c>
      <c r="J115" s="13"/>
    </row>
    <row r="116" spans="1:20" ht="12.75" hidden="1" customHeight="1" x14ac:dyDescent="0.2">
      <c r="A116" s="134"/>
      <c r="B116" s="138" t="s">
        <v>76</v>
      </c>
      <c r="C116" s="139"/>
      <c r="D116" s="139"/>
      <c r="E116" s="139">
        <v>25000</v>
      </c>
      <c r="F116" s="13"/>
      <c r="G116" s="13"/>
      <c r="H116" s="13"/>
      <c r="I116" s="13"/>
      <c r="J116" s="13"/>
    </row>
    <row r="117" spans="1:20" ht="12.75" hidden="1" customHeight="1" x14ac:dyDescent="0.2">
      <c r="A117" s="134"/>
      <c r="B117" s="138" t="s">
        <v>77</v>
      </c>
      <c r="C117" s="139"/>
      <c r="D117" s="139"/>
      <c r="E117" s="139">
        <v>80000</v>
      </c>
      <c r="F117" s="88"/>
      <c r="G117" s="88"/>
      <c r="H117" s="88"/>
      <c r="I117" s="88"/>
      <c r="J117" s="13"/>
    </row>
    <row r="118" spans="1:20" ht="12.75" hidden="1" customHeight="1" x14ac:dyDescent="0.2">
      <c r="A118" s="134"/>
      <c r="B118" s="138" t="s">
        <v>27</v>
      </c>
      <c r="C118" s="139"/>
      <c r="D118" s="139"/>
      <c r="E118" s="139">
        <f>Q23</f>
        <v>419750</v>
      </c>
      <c r="F118" s="13"/>
      <c r="G118" s="13"/>
      <c r="H118" s="13"/>
      <c r="I118" s="13"/>
      <c r="J118" s="13"/>
    </row>
    <row r="119" spans="1:20" ht="12.75" hidden="1" customHeight="1" x14ac:dyDescent="0.2">
      <c r="A119" s="134"/>
      <c r="B119" s="138" t="s">
        <v>78</v>
      </c>
      <c r="C119" s="139"/>
      <c r="D119" s="139"/>
      <c r="E119" s="139">
        <f>Q30</f>
        <v>142956.25</v>
      </c>
      <c r="F119" s="13"/>
      <c r="G119" s="13"/>
      <c r="H119" s="13"/>
      <c r="I119" s="13"/>
      <c r="J119" s="13"/>
      <c r="K119" s="129"/>
    </row>
    <row r="120" spans="1:20" ht="12.75" hidden="1" customHeight="1" x14ac:dyDescent="0.2">
      <c r="A120" s="134"/>
      <c r="B120" s="138" t="s">
        <v>79</v>
      </c>
      <c r="C120" s="139"/>
      <c r="D120" s="139"/>
      <c r="E120" s="139">
        <f>Q37</f>
        <v>150406.25</v>
      </c>
      <c r="F120" s="13"/>
      <c r="G120" s="13"/>
      <c r="H120" s="13"/>
      <c r="I120" s="13"/>
      <c r="J120" s="13"/>
    </row>
    <row r="121" spans="1:20" ht="12.75" hidden="1" customHeight="1" x14ac:dyDescent="0.2">
      <c r="A121" s="134"/>
      <c r="B121" s="138" t="s">
        <v>74</v>
      </c>
      <c r="C121" s="139"/>
      <c r="D121" s="139"/>
      <c r="E121" s="139">
        <f>Q47</f>
        <v>327750</v>
      </c>
      <c r="F121" s="13"/>
      <c r="G121" s="13"/>
      <c r="H121" s="13"/>
      <c r="I121" s="13"/>
      <c r="J121" s="13"/>
      <c r="K121" s="129"/>
    </row>
    <row r="122" spans="1:20" ht="12.75" hidden="1" customHeight="1" x14ac:dyDescent="0.2">
      <c r="A122" s="134"/>
      <c r="B122" s="138" t="s">
        <v>49</v>
      </c>
      <c r="C122" s="139"/>
      <c r="D122" s="139"/>
      <c r="E122" s="139">
        <f>Q56</f>
        <v>228493.75</v>
      </c>
      <c r="F122" s="13"/>
      <c r="G122" s="13"/>
      <c r="H122" s="13"/>
      <c r="I122" s="13"/>
      <c r="J122" s="13"/>
      <c r="K122" s="129"/>
    </row>
    <row r="123" spans="1:20" ht="12.75" hidden="1" customHeight="1" x14ac:dyDescent="0.2">
      <c r="A123" s="134"/>
      <c r="B123" s="138" t="s">
        <v>76</v>
      </c>
      <c r="C123" s="139"/>
      <c r="D123" s="139"/>
      <c r="E123" s="139">
        <f>Q75</f>
        <v>851041.66666666674</v>
      </c>
      <c r="F123" s="13"/>
      <c r="H123" s="13"/>
      <c r="I123" s="13"/>
      <c r="J123" s="13"/>
    </row>
    <row r="124" spans="1:20" ht="12.75" hidden="1" customHeight="1" x14ac:dyDescent="0.2">
      <c r="A124" s="134"/>
      <c r="B124" s="140" t="s">
        <v>73</v>
      </c>
      <c r="C124" s="139"/>
      <c r="D124" s="139"/>
      <c r="E124" s="139">
        <f>Q99</f>
        <v>832195.83333333349</v>
      </c>
      <c r="G124" s="13"/>
      <c r="M124" s="13"/>
      <c r="O124" s="13"/>
      <c r="R124" s="129"/>
      <c r="S124" s="13"/>
      <c r="T124" s="13"/>
    </row>
    <row r="125" spans="1:20" ht="12.75" hidden="1" customHeight="1" x14ac:dyDescent="0.2">
      <c r="A125" s="134"/>
      <c r="B125" s="141" t="s">
        <v>80</v>
      </c>
      <c r="C125" s="139"/>
      <c r="D125" s="139"/>
      <c r="E125" s="139">
        <f>Q97</f>
        <v>19833.333333333336</v>
      </c>
      <c r="I125" s="13"/>
      <c r="J125" s="13"/>
      <c r="O125" s="13"/>
      <c r="P125" s="129"/>
      <c r="R125" s="129"/>
      <c r="S125" s="13"/>
      <c r="T125" s="13"/>
    </row>
    <row r="126" spans="1:20" ht="12.75" hidden="1" customHeight="1" x14ac:dyDescent="0.2">
      <c r="A126" s="134"/>
      <c r="B126" s="138" t="s">
        <v>81</v>
      </c>
      <c r="C126" s="139"/>
      <c r="D126" s="139"/>
      <c r="E126" s="139">
        <v>5000</v>
      </c>
      <c r="O126" s="13"/>
      <c r="P126" s="13"/>
      <c r="R126" s="129"/>
      <c r="S126" s="13"/>
      <c r="T126" s="13"/>
    </row>
    <row r="127" spans="1:20" ht="12.75" hidden="1" customHeight="1" x14ac:dyDescent="0.25">
      <c r="A127" s="134"/>
      <c r="B127" s="142" t="s">
        <v>82</v>
      </c>
      <c r="C127" s="143">
        <f t="shared" ref="C127:E127" si="4">SUM(C113:C126)</f>
        <v>100000</v>
      </c>
      <c r="D127" s="143">
        <f t="shared" si="4"/>
        <v>100000</v>
      </c>
      <c r="E127" s="143">
        <f t="shared" si="4"/>
        <v>3157427.083333334</v>
      </c>
      <c r="H127" s="13"/>
      <c r="O127" s="13"/>
      <c r="P127" s="13"/>
      <c r="R127" s="129"/>
      <c r="S127" s="13"/>
      <c r="T127" s="13"/>
    </row>
    <row r="128" spans="1:20" ht="12.75" hidden="1" customHeight="1" x14ac:dyDescent="0.2">
      <c r="A128" s="134"/>
      <c r="E128" s="13"/>
      <c r="O128" s="13"/>
      <c r="P128" s="13"/>
      <c r="R128" s="129"/>
      <c r="S128" s="13"/>
      <c r="T128" s="13"/>
    </row>
    <row r="129" spans="1:26" ht="12.75" customHeight="1" x14ac:dyDescent="0.2">
      <c r="A129" s="134"/>
      <c r="E129" s="13"/>
      <c r="O129" s="13"/>
      <c r="P129" s="13"/>
      <c r="R129" s="129"/>
      <c r="S129" s="13"/>
      <c r="T129" s="13"/>
    </row>
    <row r="130" spans="1:26" ht="24.75" customHeight="1" x14ac:dyDescent="0.3">
      <c r="A130" s="134"/>
      <c r="O130" s="13"/>
      <c r="P130" s="13"/>
      <c r="Q130" s="489">
        <v>2945927</v>
      </c>
      <c r="R130" s="13">
        <f>Q86+Q81+Q40</f>
        <v>166250</v>
      </c>
      <c r="S130" s="13"/>
      <c r="T130" s="13"/>
    </row>
    <row r="131" spans="1:26" s="278" customFormat="1" ht="12.75" customHeight="1" x14ac:dyDescent="0.25">
      <c r="A131" s="277"/>
      <c r="O131" s="280">
        <f>SUM(O111:O128)</f>
        <v>0</v>
      </c>
      <c r="P131" s="279"/>
      <c r="R131" s="281"/>
      <c r="T131" s="279"/>
    </row>
    <row r="132" spans="1:26" s="393" customFormat="1" ht="16.149999999999999" customHeight="1" x14ac:dyDescent="0.3">
      <c r="A132" s="380">
        <v>18</v>
      </c>
      <c r="B132" s="381" t="str">
        <f>'Salary Record'!C992</f>
        <v>Zubair</v>
      </c>
      <c r="C132" s="382"/>
      <c r="D132" s="383"/>
      <c r="E132" s="384">
        <f>'Salary Record'!K991</f>
        <v>30000</v>
      </c>
      <c r="F132" s="384">
        <f>'Salary Record'!C997</f>
        <v>0</v>
      </c>
      <c r="G132" s="385">
        <f>'Salary Record'!C998</f>
        <v>0</v>
      </c>
      <c r="H132" s="384">
        <f>'Salary Record'!I996</f>
        <v>0</v>
      </c>
      <c r="I132" s="384">
        <f>'Salary Record'!I995</f>
        <v>30</v>
      </c>
      <c r="J132" s="386">
        <f>'Salary Record'!K996</f>
        <v>0</v>
      </c>
      <c r="K132" s="387">
        <f>'Salary Record'!K997</f>
        <v>30000</v>
      </c>
      <c r="L132" s="388" t="str">
        <f>'Salary Record'!G995</f>
        <v/>
      </c>
      <c r="M132" s="387">
        <f>'Salary Record'!G996</f>
        <v>0</v>
      </c>
      <c r="N132" s="389" t="str">
        <f>'Salary Record'!G997</f>
        <v/>
      </c>
      <c r="O132" s="387">
        <f>'Salary Record'!G998</f>
        <v>0</v>
      </c>
      <c r="P132" s="389" t="str">
        <f>'Salary Record'!G999</f>
        <v/>
      </c>
      <c r="Q132" s="388">
        <f>'Salary Record'!K999</f>
        <v>0</v>
      </c>
      <c r="R132" s="390"/>
      <c r="S132" s="392">
        <f>Q97+Q96+Q95</f>
        <v>129833.33333333334</v>
      </c>
      <c r="T132" s="392"/>
      <c r="U132" s="392"/>
      <c r="V132" s="391"/>
      <c r="W132" s="391"/>
      <c r="X132" s="391"/>
      <c r="Y132" s="391"/>
      <c r="Z132" s="391"/>
    </row>
    <row r="133" spans="1:26" s="278" customFormat="1" ht="12.75" customHeight="1" x14ac:dyDescent="0.2">
      <c r="A133" s="277"/>
      <c r="E133" s="279"/>
      <c r="O133" s="279"/>
      <c r="Q133" s="279"/>
      <c r="R133" s="279"/>
      <c r="S133" s="279"/>
      <c r="T133" s="279"/>
    </row>
    <row r="134" spans="1:26" ht="12.75" customHeight="1" x14ac:dyDescent="0.2">
      <c r="A134" s="134"/>
      <c r="E134" s="13"/>
      <c r="O134" s="13"/>
    </row>
    <row r="135" spans="1:26" ht="12.75" customHeight="1" x14ac:dyDescent="0.2">
      <c r="A135" s="134"/>
      <c r="E135" s="13"/>
    </row>
    <row r="136" spans="1:26" ht="12.75" customHeight="1" x14ac:dyDescent="0.2">
      <c r="A136" s="134"/>
      <c r="F136" s="13"/>
      <c r="G136" s="144"/>
      <c r="H136" s="13"/>
      <c r="I136" s="13"/>
    </row>
    <row r="137" spans="1:26" ht="12.75" customHeight="1" x14ac:dyDescent="0.2">
      <c r="A137" s="134"/>
      <c r="F137" s="13"/>
      <c r="G137" s="144"/>
      <c r="H137" s="13"/>
      <c r="I137" s="13"/>
    </row>
    <row r="138" spans="1:26" ht="12.75" customHeight="1" x14ac:dyDescent="0.2">
      <c r="A138" s="134"/>
      <c r="F138" s="13"/>
      <c r="G138" s="144"/>
      <c r="H138" s="13"/>
      <c r="I138" s="13"/>
    </row>
    <row r="139" spans="1:26" ht="12.75" customHeight="1" x14ac:dyDescent="0.2">
      <c r="A139" s="134"/>
      <c r="F139" s="13"/>
      <c r="G139" s="144"/>
      <c r="H139" s="13"/>
      <c r="I139" s="13"/>
    </row>
    <row r="140" spans="1:26" ht="12.75" customHeight="1" x14ac:dyDescent="0.2">
      <c r="A140" s="134"/>
      <c r="F140" s="13"/>
      <c r="G140" s="144"/>
      <c r="H140" s="13"/>
      <c r="I140" s="13"/>
    </row>
    <row r="141" spans="1:26" ht="12.75" customHeight="1" x14ac:dyDescent="0.2">
      <c r="A141" s="134"/>
      <c r="F141" s="13"/>
      <c r="G141" s="144"/>
      <c r="H141" s="13"/>
      <c r="I141" s="13"/>
    </row>
    <row r="142" spans="1:26" ht="12.75" customHeight="1" x14ac:dyDescent="0.2">
      <c r="A142" s="134"/>
      <c r="F142" s="13"/>
      <c r="G142" s="144"/>
      <c r="H142" s="13"/>
      <c r="I142" s="13"/>
    </row>
    <row r="143" spans="1:26" ht="12.75" customHeight="1" x14ac:dyDescent="0.2">
      <c r="A143" s="134"/>
      <c r="F143" s="13"/>
      <c r="G143" s="144"/>
      <c r="H143" s="13"/>
      <c r="I143" s="13"/>
    </row>
    <row r="144" spans="1:26" ht="12.75" customHeight="1" x14ac:dyDescent="0.2">
      <c r="A144" s="134"/>
      <c r="F144" s="13"/>
      <c r="G144" s="144"/>
      <c r="H144" s="13"/>
      <c r="I144" s="13"/>
    </row>
    <row r="145" spans="1:20" ht="12.75" customHeight="1" x14ac:dyDescent="0.2">
      <c r="A145" s="134"/>
      <c r="F145" s="13"/>
      <c r="G145" s="144"/>
      <c r="H145" s="13"/>
      <c r="I145" s="13"/>
    </row>
    <row r="146" spans="1:20" ht="12.75" customHeight="1" x14ac:dyDescent="0.2">
      <c r="A146" s="134"/>
      <c r="F146" s="13"/>
      <c r="G146" s="144"/>
      <c r="H146" s="13"/>
      <c r="I146" s="13"/>
    </row>
    <row r="147" spans="1:20" ht="12.75" customHeight="1" x14ac:dyDescent="0.2">
      <c r="A147" s="134"/>
      <c r="F147" s="13"/>
      <c r="G147" s="144"/>
      <c r="H147" s="13"/>
      <c r="I147" s="13"/>
    </row>
    <row r="148" spans="1:20" ht="12.75" customHeight="1" x14ac:dyDescent="0.2">
      <c r="A148" s="134"/>
      <c r="F148" s="13"/>
      <c r="G148" s="144"/>
      <c r="H148" s="13"/>
      <c r="I148" s="13"/>
    </row>
    <row r="149" spans="1:20" ht="12.75" customHeight="1" x14ac:dyDescent="0.2">
      <c r="A149" s="134"/>
      <c r="B149" s="145"/>
      <c r="C149" s="145"/>
      <c r="D149" s="145"/>
      <c r="E149" s="13"/>
      <c r="F149" s="13"/>
      <c r="G149" s="144"/>
      <c r="H149" s="13"/>
      <c r="I149" s="13"/>
    </row>
    <row r="150" spans="1:20" ht="12.75" customHeight="1" x14ac:dyDescent="0.2">
      <c r="A150" s="134"/>
      <c r="B150" s="145"/>
      <c r="C150" s="145"/>
      <c r="D150" s="145"/>
      <c r="E150" s="13"/>
      <c r="F150" s="13"/>
      <c r="G150" s="144"/>
      <c r="H150" s="13"/>
      <c r="I150" s="13"/>
      <c r="J150" s="13"/>
      <c r="K150" s="13"/>
      <c r="L150" s="13"/>
      <c r="M150" s="13"/>
      <c r="N150" s="146"/>
      <c r="O150" s="13"/>
      <c r="P150" s="146"/>
      <c r="R150" s="13"/>
    </row>
    <row r="151" spans="1:20" ht="12.75" customHeight="1" x14ac:dyDescent="0.2">
      <c r="A151" s="134"/>
      <c r="B151" s="145"/>
      <c r="C151" s="145"/>
      <c r="D151" s="145"/>
      <c r="E151" s="13"/>
      <c r="F151" s="13"/>
      <c r="G151" s="144"/>
      <c r="H151" s="13"/>
      <c r="I151" s="13"/>
      <c r="J151" s="13"/>
      <c r="K151" s="13"/>
      <c r="L151" s="13"/>
      <c r="M151" s="13"/>
      <c r="N151" s="146"/>
      <c r="O151" s="13"/>
      <c r="P151" s="146"/>
      <c r="R151" s="129"/>
      <c r="S151" s="13"/>
      <c r="T151" s="13"/>
    </row>
    <row r="152" spans="1:20" ht="12.75" customHeight="1" x14ac:dyDescent="0.2">
      <c r="A152" s="134"/>
      <c r="B152" s="145"/>
      <c r="C152" s="145"/>
      <c r="D152" s="145"/>
      <c r="E152" s="13"/>
      <c r="F152" s="13"/>
      <c r="G152" s="144"/>
      <c r="H152" s="13"/>
      <c r="I152" s="13"/>
      <c r="J152" s="13"/>
      <c r="K152" s="13"/>
      <c r="L152" s="13"/>
      <c r="M152" s="13"/>
      <c r="N152" s="146"/>
      <c r="O152" s="13"/>
      <c r="P152" s="146"/>
      <c r="R152" s="129"/>
      <c r="S152" s="13"/>
      <c r="T152" s="13"/>
    </row>
    <row r="153" spans="1:20" ht="12.75" customHeight="1" x14ac:dyDescent="0.2">
      <c r="A153" s="134"/>
      <c r="B153" s="145"/>
      <c r="C153" s="145"/>
      <c r="D153" s="145"/>
      <c r="E153" s="13"/>
      <c r="F153" s="13"/>
      <c r="G153" s="144"/>
      <c r="H153" s="13"/>
      <c r="I153" s="13"/>
      <c r="J153" s="13"/>
      <c r="K153" s="13"/>
      <c r="L153" s="13"/>
      <c r="M153" s="13"/>
      <c r="N153" s="146"/>
      <c r="O153" s="13"/>
      <c r="P153" s="146"/>
      <c r="R153" s="129"/>
      <c r="T153" s="13"/>
    </row>
    <row r="154" spans="1:20" ht="12.75" customHeight="1" x14ac:dyDescent="0.2">
      <c r="A154" s="134"/>
      <c r="B154" s="145"/>
      <c r="C154" s="145"/>
      <c r="D154" s="145"/>
      <c r="E154" s="13"/>
      <c r="F154" s="13"/>
      <c r="G154" s="144"/>
      <c r="H154" s="13"/>
      <c r="I154" s="13"/>
      <c r="J154" s="13"/>
      <c r="K154" s="13"/>
      <c r="L154" s="13"/>
      <c r="M154" s="13"/>
      <c r="N154" s="146"/>
      <c r="O154" s="13"/>
      <c r="P154" s="146"/>
      <c r="R154" s="129"/>
      <c r="S154" s="13"/>
      <c r="T154" s="13"/>
    </row>
    <row r="155" spans="1:20" ht="12.75" customHeight="1" x14ac:dyDescent="0.2">
      <c r="A155" s="134"/>
      <c r="B155" s="145"/>
      <c r="C155" s="145"/>
      <c r="D155" s="145"/>
      <c r="E155" s="13"/>
      <c r="F155" s="13"/>
      <c r="G155" s="144"/>
      <c r="H155" s="13"/>
      <c r="I155" s="13"/>
      <c r="J155" s="13"/>
      <c r="K155" s="13"/>
      <c r="L155" s="13"/>
      <c r="M155" s="13"/>
      <c r="N155" s="146"/>
      <c r="O155" s="13"/>
      <c r="P155" s="146"/>
      <c r="R155" s="129"/>
      <c r="T155" s="13"/>
    </row>
    <row r="156" spans="1:20" ht="12.75" customHeight="1" x14ac:dyDescent="0.2">
      <c r="A156" s="134"/>
      <c r="B156" s="145"/>
      <c r="C156" s="145"/>
      <c r="D156" s="145"/>
      <c r="E156" s="13"/>
      <c r="F156" s="13"/>
      <c r="G156" s="144"/>
      <c r="H156" s="13"/>
      <c r="I156" s="13"/>
      <c r="J156" s="13"/>
      <c r="K156" s="13"/>
      <c r="L156" s="13"/>
      <c r="M156" s="13"/>
      <c r="N156" s="146"/>
      <c r="O156" s="13"/>
      <c r="P156" s="146"/>
      <c r="R156" s="129"/>
      <c r="T156" s="13"/>
    </row>
    <row r="157" spans="1:20" ht="12.75" customHeight="1" x14ac:dyDescent="0.2">
      <c r="A157" s="134"/>
      <c r="B157" s="145"/>
      <c r="C157" s="145"/>
      <c r="D157" s="145"/>
      <c r="E157" s="13"/>
      <c r="F157" s="13"/>
      <c r="G157" s="144"/>
      <c r="H157" s="13"/>
      <c r="I157" s="13"/>
      <c r="J157" s="13"/>
      <c r="K157" s="13"/>
      <c r="L157" s="13"/>
      <c r="M157" s="13"/>
      <c r="N157" s="146"/>
      <c r="O157" s="13"/>
      <c r="P157" s="146"/>
      <c r="R157" s="129"/>
      <c r="T157" s="13"/>
    </row>
    <row r="158" spans="1:20" ht="12.75" customHeight="1" x14ac:dyDescent="0.2">
      <c r="A158" s="134"/>
      <c r="B158" s="145"/>
      <c r="C158" s="145"/>
      <c r="D158" s="145"/>
      <c r="E158" s="13"/>
      <c r="F158" s="13"/>
      <c r="G158" s="144"/>
      <c r="H158" s="13"/>
      <c r="I158" s="13"/>
      <c r="J158" s="13"/>
      <c r="K158" s="13"/>
      <c r="L158" s="13"/>
      <c r="M158" s="13"/>
      <c r="N158" s="146"/>
      <c r="O158" s="13"/>
      <c r="P158" s="146"/>
      <c r="R158" s="129"/>
      <c r="T158" s="13"/>
    </row>
    <row r="159" spans="1:20" ht="12.75" customHeight="1" x14ac:dyDescent="0.2">
      <c r="A159" s="134"/>
      <c r="B159" s="145"/>
      <c r="C159" s="145"/>
      <c r="D159" s="145"/>
      <c r="E159" s="13"/>
      <c r="F159" s="13"/>
      <c r="G159" s="144"/>
      <c r="H159" s="13"/>
      <c r="I159" s="13"/>
      <c r="J159" s="13"/>
      <c r="K159" s="13"/>
      <c r="L159" s="13"/>
      <c r="M159" s="13"/>
      <c r="N159" s="146"/>
      <c r="O159" s="13"/>
      <c r="P159" s="146"/>
      <c r="R159" s="129"/>
      <c r="T159" s="13"/>
    </row>
    <row r="160" spans="1:20" ht="12.75" customHeight="1" x14ac:dyDescent="0.2">
      <c r="A160" s="134"/>
      <c r="B160" s="145"/>
      <c r="C160" s="145"/>
      <c r="D160" s="145"/>
      <c r="E160" s="13"/>
      <c r="F160" s="13"/>
      <c r="G160" s="144"/>
      <c r="H160" s="13"/>
      <c r="I160" s="13"/>
      <c r="J160" s="13"/>
      <c r="K160" s="13"/>
      <c r="L160" s="13"/>
      <c r="M160" s="13"/>
      <c r="N160" s="146"/>
      <c r="O160" s="13"/>
      <c r="P160" s="146"/>
      <c r="R160" s="129"/>
      <c r="T160" s="13"/>
    </row>
    <row r="161" spans="1:20" ht="12.75" customHeight="1" x14ac:dyDescent="0.2">
      <c r="A161" s="134"/>
      <c r="B161" s="145"/>
      <c r="C161" s="145"/>
      <c r="D161" s="145"/>
      <c r="E161" s="13"/>
      <c r="F161" s="13"/>
      <c r="G161" s="144"/>
      <c r="H161" s="13"/>
      <c r="I161" s="13"/>
      <c r="J161" s="13"/>
      <c r="K161" s="13"/>
      <c r="L161" s="13"/>
      <c r="M161" s="13"/>
      <c r="N161" s="146"/>
      <c r="O161" s="13"/>
      <c r="P161" s="146"/>
      <c r="R161" s="129"/>
      <c r="T161" s="13"/>
    </row>
    <row r="162" spans="1:20" ht="12.75" customHeight="1" x14ac:dyDescent="0.2">
      <c r="A162" s="134"/>
      <c r="B162" s="145"/>
      <c r="C162" s="145"/>
      <c r="D162" s="145"/>
      <c r="E162" s="13"/>
      <c r="F162" s="13"/>
      <c r="G162" s="144"/>
      <c r="H162" s="13"/>
      <c r="I162" s="13"/>
      <c r="J162" s="13"/>
      <c r="K162" s="13"/>
      <c r="L162" s="13"/>
      <c r="M162" s="13"/>
      <c r="N162" s="146"/>
      <c r="O162" s="13"/>
      <c r="P162" s="146"/>
      <c r="R162" s="129"/>
      <c r="T162" s="13"/>
    </row>
    <row r="163" spans="1:20" ht="12.75" customHeight="1" x14ac:dyDescent="0.2">
      <c r="A163" s="134"/>
      <c r="B163" s="145"/>
      <c r="C163" s="145"/>
      <c r="D163" s="145"/>
      <c r="E163" s="13"/>
      <c r="F163" s="13"/>
      <c r="G163" s="144"/>
      <c r="H163" s="13"/>
      <c r="I163" s="13"/>
      <c r="J163" s="13"/>
      <c r="K163" s="13"/>
      <c r="L163" s="13"/>
      <c r="M163" s="13"/>
      <c r="N163" s="146"/>
      <c r="O163" s="13"/>
      <c r="P163" s="146"/>
      <c r="R163" s="129"/>
      <c r="T163" s="13"/>
    </row>
    <row r="164" spans="1:20" ht="12.75" customHeight="1" x14ac:dyDescent="0.2">
      <c r="A164" s="134"/>
      <c r="B164" s="145"/>
      <c r="C164" s="145"/>
      <c r="D164" s="145"/>
      <c r="E164" s="13"/>
      <c r="F164" s="13"/>
      <c r="G164" s="144"/>
      <c r="H164" s="13"/>
      <c r="I164" s="13"/>
      <c r="J164" s="13"/>
      <c r="K164" s="13"/>
      <c r="L164" s="13"/>
      <c r="M164" s="13"/>
      <c r="N164" s="146"/>
      <c r="O164" s="13"/>
      <c r="P164" s="146"/>
      <c r="R164" s="129"/>
      <c r="T164" s="13"/>
    </row>
    <row r="165" spans="1:20" ht="12.75" customHeight="1" x14ac:dyDescent="0.2">
      <c r="A165" s="134"/>
      <c r="B165" s="145"/>
      <c r="C165" s="145"/>
      <c r="D165" s="145"/>
      <c r="E165" s="13"/>
      <c r="F165" s="13"/>
      <c r="G165" s="144"/>
      <c r="H165" s="13"/>
      <c r="I165" s="13"/>
      <c r="J165" s="13"/>
      <c r="K165" s="13"/>
      <c r="L165" s="13"/>
      <c r="M165" s="13"/>
      <c r="N165" s="146"/>
      <c r="O165" s="13"/>
      <c r="P165" s="146"/>
      <c r="R165" s="129"/>
      <c r="T165" s="13"/>
    </row>
    <row r="166" spans="1:20" ht="12.75" customHeight="1" x14ac:dyDescent="0.2">
      <c r="A166" s="134"/>
      <c r="B166" s="145"/>
      <c r="C166" s="145"/>
      <c r="D166" s="145"/>
      <c r="E166" s="13"/>
      <c r="F166" s="13"/>
      <c r="G166" s="144"/>
      <c r="H166" s="13"/>
      <c r="I166" s="13"/>
      <c r="J166" s="13"/>
      <c r="K166" s="13"/>
      <c r="L166" s="13"/>
      <c r="M166" s="13"/>
      <c r="N166" s="146"/>
      <c r="O166" s="13"/>
      <c r="P166" s="146"/>
      <c r="R166" s="129"/>
      <c r="T166" s="13"/>
    </row>
    <row r="167" spans="1:20" ht="12.75" customHeight="1" x14ac:dyDescent="0.2">
      <c r="A167" s="134"/>
      <c r="B167" s="145"/>
      <c r="C167" s="145"/>
      <c r="D167" s="145"/>
      <c r="E167" s="13"/>
      <c r="F167" s="13"/>
      <c r="G167" s="144"/>
      <c r="H167" s="13"/>
      <c r="I167" s="13"/>
      <c r="J167" s="13"/>
      <c r="K167" s="13"/>
      <c r="L167" s="13"/>
      <c r="M167" s="13"/>
      <c r="N167" s="146"/>
      <c r="O167" s="13"/>
      <c r="P167" s="146"/>
      <c r="R167" s="129"/>
      <c r="T167" s="13"/>
    </row>
    <row r="168" spans="1:20" ht="12.75" customHeight="1" x14ac:dyDescent="0.2">
      <c r="A168" s="134"/>
      <c r="B168" s="145"/>
      <c r="C168" s="145"/>
      <c r="D168" s="145"/>
      <c r="E168" s="13"/>
      <c r="F168" s="13"/>
      <c r="G168" s="144"/>
      <c r="H168" s="13"/>
      <c r="I168" s="13"/>
      <c r="J168" s="13"/>
      <c r="K168" s="13"/>
      <c r="L168" s="13"/>
      <c r="M168" s="13"/>
      <c r="N168" s="146"/>
      <c r="O168" s="13"/>
      <c r="P168" s="146"/>
      <c r="R168" s="129"/>
      <c r="T168" s="13"/>
    </row>
    <row r="169" spans="1:20" ht="12.75" customHeight="1" x14ac:dyDescent="0.2">
      <c r="A169" s="134"/>
      <c r="B169" s="145"/>
      <c r="C169" s="145"/>
      <c r="D169" s="145"/>
      <c r="E169" s="13"/>
      <c r="F169" s="13"/>
      <c r="G169" s="144"/>
      <c r="H169" s="13"/>
      <c r="I169" s="13"/>
      <c r="J169" s="13"/>
      <c r="K169" s="13"/>
      <c r="L169" s="13"/>
      <c r="M169" s="13"/>
      <c r="N169" s="146"/>
      <c r="O169" s="13"/>
      <c r="P169" s="146"/>
      <c r="R169" s="129"/>
      <c r="T169" s="13"/>
    </row>
    <row r="170" spans="1:20" ht="12.75" customHeight="1" x14ac:dyDescent="0.2">
      <c r="A170" s="134"/>
      <c r="B170" s="145"/>
      <c r="C170" s="145"/>
      <c r="D170" s="145"/>
      <c r="E170" s="13"/>
      <c r="F170" s="13"/>
      <c r="G170" s="144"/>
      <c r="H170" s="13"/>
      <c r="I170" s="13"/>
      <c r="J170" s="13"/>
      <c r="K170" s="13"/>
      <c r="L170" s="13"/>
      <c r="M170" s="13"/>
      <c r="N170" s="146"/>
      <c r="O170" s="13"/>
      <c r="P170" s="146"/>
      <c r="R170" s="129"/>
      <c r="T170" s="13"/>
    </row>
    <row r="171" spans="1:20" ht="12.75" customHeight="1" x14ac:dyDescent="0.2">
      <c r="A171" s="134"/>
      <c r="B171" s="145"/>
      <c r="C171" s="145"/>
      <c r="D171" s="145"/>
      <c r="E171" s="13"/>
      <c r="F171" s="13"/>
      <c r="G171" s="144"/>
      <c r="H171" s="13"/>
      <c r="I171" s="13"/>
      <c r="J171" s="13"/>
      <c r="K171" s="13"/>
      <c r="L171" s="13"/>
      <c r="M171" s="13"/>
      <c r="N171" s="146"/>
      <c r="O171" s="13"/>
      <c r="P171" s="146"/>
      <c r="R171" s="129"/>
      <c r="T171" s="13"/>
    </row>
    <row r="172" spans="1:20" ht="12.75" customHeight="1" x14ac:dyDescent="0.2">
      <c r="A172" s="134"/>
      <c r="B172" s="145"/>
      <c r="C172" s="145"/>
      <c r="D172" s="145"/>
      <c r="E172" s="13"/>
      <c r="F172" s="13"/>
      <c r="G172" s="144"/>
      <c r="H172" s="13"/>
      <c r="I172" s="13"/>
      <c r="J172" s="13"/>
      <c r="K172" s="13"/>
      <c r="L172" s="13"/>
      <c r="M172" s="13"/>
      <c r="N172" s="146"/>
      <c r="O172" s="13"/>
      <c r="P172" s="146"/>
      <c r="R172" s="129"/>
      <c r="T172" s="13"/>
    </row>
    <row r="173" spans="1:20" ht="12.75" customHeight="1" x14ac:dyDescent="0.2">
      <c r="A173" s="134"/>
      <c r="B173" s="145"/>
      <c r="C173" s="145"/>
      <c r="D173" s="145"/>
      <c r="E173" s="13"/>
      <c r="F173" s="13"/>
      <c r="G173" s="144"/>
      <c r="H173" s="13"/>
      <c r="I173" s="13"/>
      <c r="J173" s="13"/>
      <c r="K173" s="13"/>
      <c r="L173" s="13"/>
      <c r="M173" s="13"/>
      <c r="N173" s="146"/>
      <c r="O173" s="13"/>
      <c r="P173" s="146"/>
      <c r="R173" s="129"/>
      <c r="T173" s="13"/>
    </row>
    <row r="174" spans="1:20" ht="12.75" customHeight="1" x14ac:dyDescent="0.2">
      <c r="A174" s="134"/>
      <c r="B174" s="145"/>
      <c r="C174" s="145"/>
      <c r="D174" s="145"/>
      <c r="E174" s="13"/>
      <c r="F174" s="13"/>
      <c r="G174" s="144"/>
      <c r="H174" s="13"/>
      <c r="I174" s="13"/>
      <c r="J174" s="13"/>
      <c r="K174" s="13"/>
      <c r="L174" s="13"/>
      <c r="M174" s="13"/>
      <c r="N174" s="146"/>
      <c r="O174" s="13"/>
      <c r="P174" s="146"/>
      <c r="R174" s="129"/>
      <c r="T174" s="13"/>
    </row>
    <row r="175" spans="1:20" ht="12.75" customHeight="1" x14ac:dyDescent="0.2">
      <c r="A175" s="134"/>
      <c r="B175" s="145"/>
      <c r="C175" s="145"/>
      <c r="D175" s="145"/>
      <c r="E175" s="13"/>
      <c r="F175" s="13"/>
      <c r="G175" s="144"/>
      <c r="H175" s="13"/>
      <c r="I175" s="13"/>
      <c r="J175" s="13"/>
      <c r="K175" s="13"/>
      <c r="L175" s="13"/>
      <c r="M175" s="13"/>
      <c r="N175" s="146"/>
      <c r="O175" s="13"/>
      <c r="P175" s="146"/>
      <c r="R175" s="129"/>
      <c r="T175" s="13"/>
    </row>
    <row r="176" spans="1:20" ht="12.75" customHeight="1" x14ac:dyDescent="0.2">
      <c r="A176" s="134"/>
      <c r="B176" s="145"/>
      <c r="C176" s="145"/>
      <c r="D176" s="145"/>
      <c r="E176" s="13"/>
      <c r="F176" s="13"/>
      <c r="G176" s="144"/>
      <c r="H176" s="13"/>
      <c r="I176" s="13"/>
      <c r="J176" s="13"/>
      <c r="K176" s="13"/>
      <c r="L176" s="13"/>
      <c r="M176" s="13"/>
      <c r="N176" s="146"/>
      <c r="O176" s="13"/>
      <c r="P176" s="146"/>
      <c r="R176" s="129"/>
      <c r="T176" s="13"/>
    </row>
    <row r="177" spans="1:20" ht="12.75" customHeight="1" x14ac:dyDescent="0.2">
      <c r="A177" s="134"/>
      <c r="B177" s="145"/>
      <c r="C177" s="145"/>
      <c r="D177" s="145"/>
      <c r="E177" s="13"/>
      <c r="F177" s="13"/>
      <c r="G177" s="144"/>
      <c r="H177" s="13"/>
      <c r="I177" s="13"/>
      <c r="J177" s="13"/>
      <c r="K177" s="13"/>
      <c r="L177" s="13"/>
      <c r="M177" s="13"/>
      <c r="N177" s="146"/>
      <c r="O177" s="13"/>
      <c r="P177" s="146"/>
      <c r="R177" s="129"/>
      <c r="T177" s="13"/>
    </row>
    <row r="178" spans="1:20" ht="12.75" customHeight="1" x14ac:dyDescent="0.2">
      <c r="A178" s="134"/>
      <c r="B178" s="145"/>
      <c r="C178" s="145"/>
      <c r="D178" s="145"/>
      <c r="E178" s="13"/>
      <c r="F178" s="13"/>
      <c r="G178" s="144"/>
      <c r="H178" s="13"/>
      <c r="I178" s="13"/>
      <c r="J178" s="13"/>
      <c r="K178" s="13"/>
      <c r="L178" s="13"/>
      <c r="M178" s="13"/>
      <c r="N178" s="146"/>
      <c r="O178" s="13"/>
      <c r="P178" s="146"/>
      <c r="R178" s="129"/>
      <c r="T178" s="13"/>
    </row>
    <row r="179" spans="1:20" ht="12.75" customHeight="1" x14ac:dyDescent="0.2">
      <c r="A179" s="134"/>
      <c r="B179" s="145"/>
      <c r="C179" s="145"/>
      <c r="D179" s="145"/>
      <c r="E179" s="13"/>
      <c r="F179" s="13"/>
      <c r="G179" s="144"/>
      <c r="H179" s="13"/>
      <c r="I179" s="13"/>
      <c r="J179" s="13"/>
      <c r="K179" s="13"/>
      <c r="L179" s="13"/>
      <c r="M179" s="13"/>
      <c r="N179" s="146"/>
      <c r="O179" s="13"/>
      <c r="P179" s="146"/>
      <c r="R179" s="129"/>
      <c r="T179" s="13"/>
    </row>
    <row r="180" spans="1:20" ht="12.75" customHeight="1" x14ac:dyDescent="0.2">
      <c r="A180" s="134"/>
      <c r="B180" s="145"/>
      <c r="C180" s="145"/>
      <c r="D180" s="145"/>
      <c r="E180" s="13"/>
      <c r="F180" s="13"/>
      <c r="G180" s="144"/>
      <c r="H180" s="13"/>
      <c r="I180" s="13"/>
      <c r="J180" s="13"/>
      <c r="K180" s="13"/>
      <c r="L180" s="13"/>
      <c r="M180" s="13"/>
      <c r="N180" s="146"/>
      <c r="O180" s="13"/>
      <c r="P180" s="146"/>
      <c r="R180" s="129"/>
      <c r="T180" s="13"/>
    </row>
    <row r="181" spans="1:20" ht="12.75" customHeight="1" x14ac:dyDescent="0.2">
      <c r="A181" s="134"/>
      <c r="B181" s="145"/>
      <c r="C181" s="145"/>
      <c r="D181" s="145"/>
      <c r="E181" s="13"/>
      <c r="F181" s="13"/>
      <c r="G181" s="144"/>
      <c r="H181" s="13"/>
      <c r="I181" s="13"/>
      <c r="J181" s="13"/>
      <c r="K181" s="13"/>
      <c r="L181" s="13"/>
      <c r="M181" s="13"/>
      <c r="N181" s="146"/>
      <c r="O181" s="13"/>
      <c r="P181" s="146"/>
      <c r="R181" s="129"/>
      <c r="T181" s="13"/>
    </row>
    <row r="182" spans="1:20" ht="12.75" customHeight="1" x14ac:dyDescent="0.2">
      <c r="A182" s="134"/>
      <c r="B182" s="145"/>
      <c r="C182" s="145"/>
      <c r="D182" s="145"/>
      <c r="E182" s="13"/>
      <c r="F182" s="13"/>
      <c r="G182" s="144"/>
      <c r="H182" s="13"/>
      <c r="I182" s="13"/>
      <c r="J182" s="13"/>
      <c r="K182" s="13"/>
      <c r="L182" s="13"/>
      <c r="M182" s="13"/>
      <c r="N182" s="146"/>
      <c r="O182" s="13"/>
      <c r="P182" s="146"/>
      <c r="R182" s="129"/>
      <c r="T182" s="13"/>
    </row>
    <row r="183" spans="1:20" ht="12.75" customHeight="1" x14ac:dyDescent="0.2">
      <c r="A183" s="134"/>
      <c r="B183" s="145"/>
      <c r="C183" s="145"/>
      <c r="D183" s="145"/>
      <c r="E183" s="13"/>
      <c r="F183" s="13"/>
      <c r="G183" s="144"/>
      <c r="H183" s="13"/>
      <c r="I183" s="13"/>
      <c r="J183" s="13"/>
      <c r="K183" s="13"/>
      <c r="L183" s="13"/>
      <c r="M183" s="13"/>
      <c r="N183" s="146"/>
      <c r="O183" s="13"/>
      <c r="P183" s="146"/>
      <c r="R183" s="129"/>
      <c r="T183" s="13"/>
    </row>
    <row r="184" spans="1:20" ht="12.75" customHeight="1" x14ac:dyDescent="0.2">
      <c r="A184" s="134"/>
      <c r="B184" s="145"/>
      <c r="C184" s="145"/>
      <c r="D184" s="145"/>
      <c r="E184" s="13"/>
      <c r="F184" s="13"/>
      <c r="G184" s="144"/>
      <c r="H184" s="13"/>
      <c r="I184" s="13"/>
      <c r="J184" s="13"/>
      <c r="K184" s="13"/>
      <c r="L184" s="13"/>
      <c r="M184" s="13"/>
      <c r="N184" s="146"/>
      <c r="O184" s="13"/>
      <c r="P184" s="146"/>
      <c r="R184" s="129"/>
      <c r="T184" s="13"/>
    </row>
    <row r="185" spans="1:20" ht="12.75" customHeight="1" x14ac:dyDescent="0.2">
      <c r="A185" s="134"/>
      <c r="B185" s="145"/>
      <c r="C185" s="145"/>
      <c r="D185" s="145"/>
      <c r="E185" s="13"/>
      <c r="F185" s="13"/>
      <c r="G185" s="144"/>
      <c r="H185" s="13"/>
      <c r="I185" s="13"/>
      <c r="J185" s="13"/>
      <c r="K185" s="13"/>
      <c r="L185" s="13"/>
      <c r="M185" s="13"/>
      <c r="N185" s="146"/>
      <c r="O185" s="13"/>
      <c r="P185" s="146"/>
      <c r="R185" s="129"/>
      <c r="T185" s="13"/>
    </row>
    <row r="186" spans="1:20" ht="12.75" customHeight="1" x14ac:dyDescent="0.2">
      <c r="A186" s="134"/>
      <c r="B186" s="145"/>
      <c r="C186" s="145"/>
      <c r="D186" s="145"/>
      <c r="E186" s="13"/>
      <c r="F186" s="13"/>
      <c r="G186" s="144"/>
      <c r="H186" s="13"/>
      <c r="I186" s="13"/>
      <c r="J186" s="13"/>
      <c r="K186" s="13"/>
      <c r="L186" s="13"/>
      <c r="M186" s="13"/>
      <c r="N186" s="146"/>
      <c r="O186" s="13"/>
      <c r="P186" s="146"/>
      <c r="R186" s="129"/>
      <c r="T186" s="13"/>
    </row>
    <row r="187" spans="1:20" ht="12.75" customHeight="1" x14ac:dyDescent="0.2">
      <c r="A187" s="134"/>
      <c r="B187" s="145"/>
      <c r="C187" s="145"/>
      <c r="D187" s="145"/>
      <c r="E187" s="13"/>
      <c r="F187" s="13"/>
      <c r="G187" s="144"/>
      <c r="H187" s="13"/>
      <c r="I187" s="13"/>
      <c r="J187" s="13"/>
      <c r="K187" s="13"/>
      <c r="L187" s="13"/>
      <c r="M187" s="13"/>
      <c r="N187" s="146"/>
      <c r="O187" s="13"/>
      <c r="P187" s="146"/>
      <c r="R187" s="129"/>
      <c r="T187" s="13"/>
    </row>
    <row r="188" spans="1:20" ht="12.75" customHeight="1" x14ac:dyDescent="0.2">
      <c r="A188" s="134"/>
      <c r="B188" s="145"/>
      <c r="C188" s="145"/>
      <c r="D188" s="145"/>
      <c r="E188" s="13"/>
      <c r="F188" s="13"/>
      <c r="G188" s="144"/>
      <c r="H188" s="13"/>
      <c r="I188" s="13"/>
      <c r="J188" s="13"/>
      <c r="K188" s="13"/>
      <c r="L188" s="13"/>
      <c r="M188" s="13"/>
      <c r="N188" s="146"/>
      <c r="O188" s="13"/>
      <c r="P188" s="146"/>
      <c r="R188" s="129"/>
      <c r="T188" s="13"/>
    </row>
    <row r="189" spans="1:20" ht="12.75" customHeight="1" x14ac:dyDescent="0.2">
      <c r="A189" s="134"/>
      <c r="B189" s="145"/>
      <c r="C189" s="145"/>
      <c r="D189" s="145"/>
      <c r="E189" s="13"/>
      <c r="F189" s="13"/>
      <c r="G189" s="144"/>
      <c r="H189" s="13"/>
      <c r="I189" s="13"/>
      <c r="J189" s="13"/>
      <c r="K189" s="13"/>
      <c r="L189" s="13"/>
      <c r="M189" s="13"/>
      <c r="N189" s="146"/>
      <c r="O189" s="13"/>
      <c r="P189" s="146"/>
      <c r="R189" s="129"/>
      <c r="T189" s="13"/>
    </row>
    <row r="190" spans="1:20" ht="12.75" customHeight="1" x14ac:dyDescent="0.2">
      <c r="A190" s="134"/>
      <c r="B190" s="145"/>
      <c r="C190" s="145"/>
      <c r="D190" s="145"/>
      <c r="E190" s="13"/>
      <c r="F190" s="13"/>
      <c r="G190" s="144"/>
      <c r="H190" s="13"/>
      <c r="I190" s="13"/>
      <c r="J190" s="13"/>
      <c r="K190" s="13"/>
      <c r="L190" s="13"/>
      <c r="M190" s="13"/>
      <c r="N190" s="146"/>
      <c r="O190" s="13"/>
      <c r="P190" s="146"/>
      <c r="R190" s="129"/>
      <c r="T190" s="13"/>
    </row>
    <row r="191" spans="1:20" ht="12.75" customHeight="1" x14ac:dyDescent="0.2">
      <c r="A191" s="134"/>
      <c r="B191" s="145"/>
      <c r="C191" s="145"/>
      <c r="D191" s="145"/>
      <c r="E191" s="13"/>
      <c r="F191" s="13"/>
      <c r="G191" s="144"/>
      <c r="H191" s="13"/>
      <c r="I191" s="13"/>
      <c r="J191" s="13"/>
      <c r="K191" s="13"/>
      <c r="L191" s="13"/>
      <c r="M191" s="13"/>
      <c r="N191" s="146"/>
      <c r="O191" s="13"/>
      <c r="P191" s="146"/>
      <c r="R191" s="129"/>
      <c r="T191" s="13"/>
    </row>
    <row r="192" spans="1:20" ht="12.75" customHeight="1" x14ac:dyDescent="0.2">
      <c r="A192" s="134"/>
      <c r="B192" s="145"/>
      <c r="C192" s="145"/>
      <c r="D192" s="145"/>
      <c r="E192" s="13"/>
      <c r="F192" s="13"/>
      <c r="G192" s="144"/>
      <c r="H192" s="13"/>
      <c r="I192" s="13"/>
      <c r="J192" s="13"/>
      <c r="K192" s="13"/>
      <c r="L192" s="13"/>
      <c r="M192" s="13"/>
      <c r="N192" s="146"/>
      <c r="O192" s="13"/>
      <c r="P192" s="146"/>
      <c r="R192" s="129"/>
      <c r="T192" s="13"/>
    </row>
    <row r="193" spans="1:20" ht="12.75" customHeight="1" x14ac:dyDescent="0.2">
      <c r="A193" s="134"/>
      <c r="B193" s="145"/>
      <c r="C193" s="145"/>
      <c r="D193" s="145"/>
      <c r="E193" s="13"/>
      <c r="F193" s="13"/>
      <c r="G193" s="144"/>
      <c r="H193" s="13"/>
      <c r="I193" s="13"/>
      <c r="J193" s="13"/>
      <c r="K193" s="13"/>
      <c r="L193" s="13"/>
      <c r="M193" s="13"/>
      <c r="N193" s="146"/>
      <c r="O193" s="13"/>
      <c r="P193" s="146"/>
      <c r="R193" s="129"/>
      <c r="T193" s="13"/>
    </row>
    <row r="194" spans="1:20" ht="12.75" customHeight="1" x14ac:dyDescent="0.2">
      <c r="A194" s="134"/>
      <c r="B194" s="145"/>
      <c r="C194" s="145"/>
      <c r="D194" s="145"/>
      <c r="E194" s="13"/>
      <c r="F194" s="13"/>
      <c r="G194" s="144"/>
      <c r="H194" s="13"/>
      <c r="I194" s="13"/>
      <c r="J194" s="13"/>
      <c r="K194" s="13"/>
      <c r="L194" s="13"/>
      <c r="M194" s="13"/>
      <c r="N194" s="146"/>
      <c r="O194" s="13"/>
      <c r="P194" s="146"/>
      <c r="R194" s="129"/>
      <c r="T194" s="13"/>
    </row>
    <row r="195" spans="1:20" ht="12.75" customHeight="1" x14ac:dyDescent="0.2">
      <c r="A195" s="134"/>
      <c r="B195" s="145"/>
      <c r="C195" s="145"/>
      <c r="D195" s="145"/>
      <c r="E195" s="13"/>
      <c r="F195" s="13"/>
      <c r="G195" s="144"/>
      <c r="H195" s="13"/>
      <c r="I195" s="13"/>
      <c r="J195" s="13"/>
      <c r="K195" s="13"/>
      <c r="L195" s="13"/>
      <c r="M195" s="13"/>
      <c r="N195" s="146"/>
      <c r="O195" s="13"/>
      <c r="P195" s="146"/>
      <c r="R195" s="129"/>
      <c r="T195" s="13"/>
    </row>
    <row r="196" spans="1:20" ht="12.75" customHeight="1" x14ac:dyDescent="0.2">
      <c r="A196" s="134"/>
      <c r="B196" s="145"/>
      <c r="C196" s="145"/>
      <c r="D196" s="145"/>
      <c r="E196" s="13"/>
      <c r="F196" s="13"/>
      <c r="G196" s="144"/>
      <c r="H196" s="13"/>
      <c r="I196" s="13"/>
      <c r="J196" s="13"/>
      <c r="K196" s="13"/>
      <c r="L196" s="13"/>
      <c r="M196" s="13"/>
      <c r="N196" s="146"/>
      <c r="O196" s="13"/>
      <c r="P196" s="146"/>
      <c r="R196" s="129"/>
      <c r="T196" s="13"/>
    </row>
    <row r="197" spans="1:20" ht="12.75" customHeight="1" x14ac:dyDescent="0.2">
      <c r="A197" s="134"/>
      <c r="B197" s="145"/>
      <c r="C197" s="145"/>
      <c r="D197" s="145"/>
      <c r="E197" s="13"/>
      <c r="F197" s="13"/>
      <c r="G197" s="144"/>
      <c r="H197" s="13"/>
      <c r="I197" s="13"/>
      <c r="J197" s="13"/>
      <c r="K197" s="13"/>
      <c r="L197" s="13"/>
      <c r="M197" s="13"/>
      <c r="N197" s="146"/>
      <c r="O197" s="13"/>
      <c r="P197" s="146"/>
      <c r="R197" s="129"/>
      <c r="T197" s="13"/>
    </row>
    <row r="198" spans="1:20" ht="12.75" customHeight="1" x14ac:dyDescent="0.2">
      <c r="A198" s="134"/>
      <c r="B198" s="145"/>
      <c r="C198" s="145"/>
      <c r="D198" s="145"/>
      <c r="E198" s="13"/>
      <c r="F198" s="13"/>
      <c r="G198" s="144"/>
      <c r="H198" s="13"/>
      <c r="I198" s="13"/>
      <c r="J198" s="13"/>
      <c r="K198" s="13"/>
      <c r="L198" s="13"/>
      <c r="M198" s="13"/>
      <c r="N198" s="146"/>
      <c r="O198" s="13"/>
      <c r="P198" s="146"/>
      <c r="R198" s="129"/>
      <c r="T198" s="13"/>
    </row>
    <row r="199" spans="1:20" ht="12.75" customHeight="1" x14ac:dyDescent="0.2">
      <c r="A199" s="134"/>
      <c r="B199" s="145"/>
      <c r="C199" s="145"/>
      <c r="D199" s="145"/>
      <c r="E199" s="13"/>
      <c r="F199" s="13"/>
      <c r="G199" s="144"/>
      <c r="H199" s="13"/>
      <c r="I199" s="13"/>
      <c r="J199" s="13"/>
      <c r="K199" s="13"/>
      <c r="L199" s="13"/>
      <c r="M199" s="13"/>
      <c r="N199" s="146"/>
      <c r="O199" s="13"/>
      <c r="P199" s="146"/>
      <c r="R199" s="129"/>
      <c r="T199" s="13"/>
    </row>
    <row r="200" spans="1:20" ht="12.75" customHeight="1" x14ac:dyDescent="0.2">
      <c r="A200" s="134"/>
      <c r="B200" s="145"/>
      <c r="C200" s="145"/>
      <c r="D200" s="145"/>
      <c r="E200" s="13"/>
      <c r="F200" s="13"/>
      <c r="G200" s="144"/>
      <c r="H200" s="13"/>
      <c r="I200" s="13"/>
      <c r="J200" s="13"/>
      <c r="K200" s="13"/>
      <c r="L200" s="13"/>
      <c r="M200" s="13"/>
      <c r="N200" s="146"/>
      <c r="O200" s="13"/>
      <c r="P200" s="146"/>
      <c r="R200" s="129"/>
      <c r="T200" s="13"/>
    </row>
    <row r="201" spans="1:20" ht="12.75" customHeight="1" x14ac:dyDescent="0.2">
      <c r="A201" s="134"/>
      <c r="B201" s="145"/>
      <c r="C201" s="145"/>
      <c r="D201" s="145"/>
      <c r="E201" s="13"/>
      <c r="F201" s="13"/>
      <c r="G201" s="144"/>
      <c r="H201" s="13"/>
      <c r="I201" s="13"/>
      <c r="J201" s="13"/>
      <c r="K201" s="13"/>
      <c r="L201" s="13"/>
      <c r="M201" s="13"/>
      <c r="N201" s="146"/>
      <c r="O201" s="13"/>
      <c r="P201" s="146"/>
      <c r="R201" s="129"/>
      <c r="T201" s="13"/>
    </row>
    <row r="202" spans="1:20" ht="12.75" customHeight="1" x14ac:dyDescent="0.2">
      <c r="A202" s="134"/>
      <c r="B202" s="145"/>
      <c r="C202" s="145"/>
      <c r="D202" s="145"/>
      <c r="E202" s="13"/>
      <c r="F202" s="13"/>
      <c r="G202" s="144"/>
      <c r="H202" s="13"/>
      <c r="I202" s="13"/>
      <c r="J202" s="13"/>
      <c r="K202" s="13"/>
      <c r="L202" s="13"/>
      <c r="M202" s="13"/>
      <c r="N202" s="146"/>
      <c r="O202" s="13"/>
      <c r="P202" s="146"/>
      <c r="R202" s="129"/>
      <c r="T202" s="13"/>
    </row>
    <row r="203" spans="1:20" ht="12.75" customHeight="1" x14ac:dyDescent="0.2">
      <c r="A203" s="134"/>
      <c r="B203" s="145"/>
      <c r="C203" s="145"/>
      <c r="D203" s="145"/>
      <c r="E203" s="13"/>
      <c r="F203" s="13"/>
      <c r="G203" s="144"/>
      <c r="H203" s="13"/>
      <c r="I203" s="13"/>
      <c r="J203" s="13"/>
      <c r="K203" s="13"/>
      <c r="L203" s="13"/>
      <c r="M203" s="13"/>
      <c r="N203" s="146"/>
      <c r="O203" s="13"/>
      <c r="P203" s="146"/>
      <c r="R203" s="129"/>
      <c r="T203" s="13"/>
    </row>
    <row r="204" spans="1:20" ht="12.75" customHeight="1" x14ac:dyDescent="0.2">
      <c r="A204" s="134"/>
      <c r="B204" s="145"/>
      <c r="C204" s="145"/>
      <c r="D204" s="145"/>
      <c r="E204" s="13"/>
      <c r="F204" s="13"/>
      <c r="G204" s="144"/>
      <c r="H204" s="13"/>
      <c r="I204" s="13"/>
      <c r="J204" s="13"/>
      <c r="K204" s="13"/>
      <c r="L204" s="13"/>
      <c r="M204" s="13"/>
      <c r="N204" s="146"/>
      <c r="O204" s="13"/>
      <c r="P204" s="146"/>
      <c r="R204" s="129"/>
      <c r="T204" s="13"/>
    </row>
    <row r="205" spans="1:20" ht="12.75" customHeight="1" x14ac:dyDescent="0.2">
      <c r="A205" s="134"/>
      <c r="B205" s="145"/>
      <c r="C205" s="145"/>
      <c r="D205" s="145"/>
      <c r="E205" s="13"/>
      <c r="F205" s="13"/>
      <c r="G205" s="144"/>
      <c r="H205" s="13"/>
      <c r="I205" s="13"/>
      <c r="J205" s="13"/>
      <c r="K205" s="13"/>
      <c r="L205" s="13"/>
      <c r="M205" s="13"/>
      <c r="N205" s="146"/>
      <c r="O205" s="13"/>
      <c r="P205" s="146"/>
      <c r="R205" s="129"/>
      <c r="T205" s="13"/>
    </row>
    <row r="206" spans="1:20" ht="12.75" customHeight="1" x14ac:dyDescent="0.2">
      <c r="A206" s="134"/>
      <c r="B206" s="145"/>
      <c r="C206" s="145"/>
      <c r="D206" s="145"/>
      <c r="E206" s="13"/>
      <c r="F206" s="13"/>
      <c r="G206" s="144"/>
      <c r="H206" s="13"/>
      <c r="I206" s="13"/>
      <c r="J206" s="13"/>
      <c r="K206" s="13"/>
      <c r="L206" s="13"/>
      <c r="M206" s="13"/>
      <c r="N206" s="146"/>
      <c r="O206" s="13"/>
      <c r="P206" s="146"/>
      <c r="R206" s="129"/>
      <c r="T206" s="13"/>
    </row>
    <row r="207" spans="1:20" ht="12.75" customHeight="1" x14ac:dyDescent="0.2">
      <c r="A207" s="134"/>
      <c r="B207" s="145"/>
      <c r="C207" s="145"/>
      <c r="D207" s="145"/>
      <c r="E207" s="13"/>
      <c r="F207" s="13"/>
      <c r="G207" s="144"/>
      <c r="H207" s="13"/>
      <c r="I207" s="13"/>
      <c r="J207" s="13"/>
      <c r="K207" s="13"/>
      <c r="L207" s="13"/>
      <c r="M207" s="13"/>
      <c r="N207" s="146"/>
      <c r="O207" s="13"/>
      <c r="P207" s="146"/>
      <c r="R207" s="129"/>
      <c r="T207" s="13"/>
    </row>
    <row r="208" spans="1:20" ht="12.75" customHeight="1" x14ac:dyDescent="0.2">
      <c r="A208" s="134"/>
      <c r="B208" s="145"/>
      <c r="C208" s="145"/>
      <c r="D208" s="145"/>
      <c r="E208" s="13"/>
      <c r="F208" s="13"/>
      <c r="G208" s="144"/>
      <c r="H208" s="13"/>
      <c r="I208" s="13"/>
      <c r="J208" s="13"/>
      <c r="K208" s="13"/>
      <c r="L208" s="13"/>
      <c r="M208" s="13"/>
      <c r="N208" s="146"/>
      <c r="O208" s="13"/>
      <c r="P208" s="146"/>
      <c r="R208" s="129"/>
      <c r="T208" s="13"/>
    </row>
    <row r="209" spans="1:20" ht="12.75" customHeight="1" x14ac:dyDescent="0.2">
      <c r="A209" s="134"/>
      <c r="B209" s="145"/>
      <c r="C209" s="145"/>
      <c r="D209" s="145"/>
      <c r="E209" s="13"/>
      <c r="F209" s="13"/>
      <c r="G209" s="144"/>
      <c r="H209" s="13"/>
      <c r="I209" s="13"/>
      <c r="J209" s="13"/>
      <c r="K209" s="13"/>
      <c r="L209" s="13"/>
      <c r="M209" s="13"/>
      <c r="N209" s="146"/>
      <c r="O209" s="13"/>
      <c r="P209" s="146"/>
      <c r="R209" s="129"/>
      <c r="T209" s="13"/>
    </row>
    <row r="210" spans="1:20" ht="12.75" customHeight="1" x14ac:dyDescent="0.2">
      <c r="A210" s="134"/>
      <c r="B210" s="145"/>
      <c r="C210" s="145"/>
      <c r="D210" s="145"/>
      <c r="E210" s="13"/>
      <c r="F210" s="13"/>
      <c r="G210" s="144"/>
      <c r="H210" s="13"/>
      <c r="I210" s="13"/>
      <c r="J210" s="13"/>
      <c r="K210" s="13"/>
      <c r="L210" s="13"/>
      <c r="M210" s="13"/>
      <c r="N210" s="146"/>
      <c r="O210" s="13"/>
      <c r="P210" s="146"/>
      <c r="R210" s="129"/>
      <c r="T210" s="13"/>
    </row>
    <row r="211" spans="1:20" ht="12.75" customHeight="1" x14ac:dyDescent="0.2">
      <c r="A211" s="134"/>
      <c r="B211" s="145"/>
      <c r="C211" s="145"/>
      <c r="D211" s="145"/>
      <c r="E211" s="13"/>
      <c r="F211" s="13"/>
      <c r="G211" s="144"/>
      <c r="H211" s="13"/>
      <c r="I211" s="13"/>
      <c r="J211" s="13"/>
      <c r="K211" s="13"/>
      <c r="L211" s="13"/>
      <c r="M211" s="13"/>
      <c r="N211" s="146"/>
      <c r="O211" s="13"/>
      <c r="P211" s="146"/>
      <c r="R211" s="129"/>
      <c r="T211" s="13"/>
    </row>
    <row r="212" spans="1:20" ht="12.75" customHeight="1" x14ac:dyDescent="0.2">
      <c r="A212" s="134"/>
      <c r="B212" s="145"/>
      <c r="C212" s="145"/>
      <c r="D212" s="145"/>
      <c r="E212" s="13"/>
      <c r="F212" s="13"/>
      <c r="G212" s="144"/>
      <c r="H212" s="13"/>
      <c r="I212" s="13"/>
      <c r="J212" s="13"/>
      <c r="K212" s="13"/>
      <c r="L212" s="13"/>
      <c r="M212" s="13"/>
      <c r="N212" s="146"/>
      <c r="O212" s="13"/>
      <c r="P212" s="146"/>
      <c r="R212" s="129"/>
      <c r="T212" s="13"/>
    </row>
    <row r="213" spans="1:20" ht="12.75" customHeight="1" x14ac:dyDescent="0.2">
      <c r="A213" s="134"/>
      <c r="B213" s="145"/>
      <c r="C213" s="145"/>
      <c r="D213" s="145"/>
      <c r="E213" s="13"/>
      <c r="F213" s="13"/>
      <c r="G213" s="144"/>
      <c r="H213" s="13"/>
      <c r="I213" s="13"/>
      <c r="J213" s="13"/>
      <c r="K213" s="13"/>
      <c r="L213" s="13"/>
      <c r="M213" s="13"/>
      <c r="N213" s="146"/>
      <c r="O213" s="13"/>
      <c r="P213" s="146"/>
      <c r="R213" s="129"/>
      <c r="T213" s="13"/>
    </row>
    <row r="214" spans="1:20" ht="12.75" customHeight="1" x14ac:dyDescent="0.2">
      <c r="A214" s="134"/>
      <c r="B214" s="145"/>
      <c r="C214" s="145"/>
      <c r="D214" s="145"/>
      <c r="E214" s="13"/>
      <c r="F214" s="13"/>
      <c r="G214" s="144"/>
      <c r="H214" s="13"/>
      <c r="I214" s="13"/>
      <c r="J214" s="13"/>
      <c r="K214" s="13"/>
      <c r="L214" s="13"/>
      <c r="M214" s="13"/>
      <c r="N214" s="146"/>
      <c r="O214" s="13"/>
      <c r="P214" s="146"/>
      <c r="R214" s="129"/>
      <c r="T214" s="13"/>
    </row>
    <row r="215" spans="1:20" ht="12.75" customHeight="1" x14ac:dyDescent="0.2">
      <c r="A215" s="134"/>
      <c r="B215" s="145"/>
      <c r="C215" s="145"/>
      <c r="D215" s="145"/>
      <c r="E215" s="13"/>
      <c r="F215" s="13"/>
      <c r="G215" s="144"/>
      <c r="H215" s="13"/>
      <c r="I215" s="13"/>
      <c r="J215" s="13"/>
      <c r="K215" s="13"/>
      <c r="L215" s="13"/>
      <c r="M215" s="13"/>
      <c r="N215" s="146"/>
      <c r="O215" s="13"/>
      <c r="P215" s="146"/>
      <c r="R215" s="129"/>
      <c r="T215" s="13"/>
    </row>
    <row r="216" spans="1:20" ht="12.75" customHeight="1" x14ac:dyDescent="0.2">
      <c r="A216" s="134"/>
      <c r="B216" s="145"/>
      <c r="C216" s="145"/>
      <c r="D216" s="145"/>
      <c r="E216" s="13"/>
      <c r="F216" s="13"/>
      <c r="G216" s="144"/>
      <c r="H216" s="13"/>
      <c r="I216" s="13"/>
      <c r="J216" s="13"/>
      <c r="K216" s="13"/>
      <c r="L216" s="13"/>
      <c r="M216" s="13"/>
      <c r="N216" s="146"/>
      <c r="O216" s="13"/>
      <c r="P216" s="146"/>
      <c r="R216" s="129"/>
      <c r="T216" s="13"/>
    </row>
    <row r="217" spans="1:20" ht="12.75" customHeight="1" x14ac:dyDescent="0.2">
      <c r="A217" s="134"/>
      <c r="B217" s="145"/>
      <c r="C217" s="145"/>
      <c r="D217" s="145"/>
      <c r="E217" s="13"/>
      <c r="F217" s="13"/>
      <c r="G217" s="144"/>
      <c r="H217" s="13"/>
      <c r="I217" s="13"/>
      <c r="J217" s="13"/>
      <c r="K217" s="13"/>
      <c r="L217" s="13"/>
      <c r="M217" s="13"/>
      <c r="N217" s="146"/>
      <c r="O217" s="13"/>
      <c r="P217" s="146"/>
      <c r="R217" s="129"/>
      <c r="T217" s="13"/>
    </row>
    <row r="218" spans="1:20" ht="12.75" customHeight="1" x14ac:dyDescent="0.2">
      <c r="A218" s="134"/>
      <c r="B218" s="145"/>
      <c r="C218" s="145"/>
      <c r="D218" s="145"/>
      <c r="E218" s="13"/>
      <c r="F218" s="13"/>
      <c r="G218" s="144"/>
      <c r="H218" s="13"/>
      <c r="I218" s="13"/>
      <c r="J218" s="13"/>
      <c r="K218" s="13"/>
      <c r="L218" s="13"/>
      <c r="M218" s="13"/>
      <c r="N218" s="146"/>
      <c r="O218" s="13"/>
      <c r="P218" s="146"/>
      <c r="R218" s="129"/>
      <c r="T218" s="13"/>
    </row>
    <row r="219" spans="1:20" ht="12.75" customHeight="1" x14ac:dyDescent="0.2">
      <c r="A219" s="134"/>
      <c r="B219" s="145"/>
      <c r="C219" s="145"/>
      <c r="D219" s="145"/>
      <c r="E219" s="13"/>
      <c r="F219" s="13"/>
      <c r="G219" s="144"/>
      <c r="H219" s="13"/>
      <c r="I219" s="13"/>
      <c r="J219" s="13"/>
      <c r="K219" s="13"/>
      <c r="L219" s="13"/>
      <c r="M219" s="13"/>
      <c r="N219" s="146"/>
      <c r="O219" s="13"/>
      <c r="P219" s="146"/>
      <c r="R219" s="129"/>
      <c r="T219" s="13"/>
    </row>
    <row r="220" spans="1:20" ht="12.75" customHeight="1" x14ac:dyDescent="0.2">
      <c r="A220" s="134"/>
      <c r="B220" s="145"/>
      <c r="C220" s="145"/>
      <c r="D220" s="145"/>
      <c r="E220" s="13"/>
      <c r="F220" s="13"/>
      <c r="G220" s="144"/>
      <c r="H220" s="13"/>
      <c r="I220" s="13"/>
      <c r="J220" s="13"/>
      <c r="K220" s="13"/>
      <c r="L220" s="13"/>
      <c r="M220" s="13"/>
      <c r="N220" s="146"/>
      <c r="O220" s="13"/>
      <c r="P220" s="146"/>
      <c r="R220" s="129"/>
      <c r="T220" s="13"/>
    </row>
    <row r="221" spans="1:20" ht="12.75" customHeight="1" x14ac:dyDescent="0.2">
      <c r="A221" s="134"/>
      <c r="B221" s="145"/>
      <c r="C221" s="145"/>
      <c r="D221" s="145"/>
      <c r="E221" s="13"/>
      <c r="F221" s="13"/>
      <c r="G221" s="144"/>
      <c r="H221" s="13"/>
      <c r="I221" s="13"/>
      <c r="J221" s="13"/>
      <c r="K221" s="13"/>
      <c r="L221" s="13"/>
      <c r="M221" s="13"/>
      <c r="N221" s="146"/>
      <c r="O221" s="13"/>
      <c r="P221" s="146"/>
      <c r="R221" s="129"/>
      <c r="T221" s="13"/>
    </row>
    <row r="222" spans="1:20" ht="12.75" customHeight="1" x14ac:dyDescent="0.2">
      <c r="A222" s="134"/>
      <c r="B222" s="145"/>
      <c r="C222" s="145"/>
      <c r="D222" s="145"/>
      <c r="E222" s="13"/>
      <c r="F222" s="13"/>
      <c r="G222" s="144"/>
      <c r="H222" s="13"/>
      <c r="I222" s="13"/>
      <c r="J222" s="13"/>
      <c r="K222" s="13"/>
      <c r="L222" s="13"/>
      <c r="M222" s="13"/>
      <c r="N222" s="146"/>
      <c r="O222" s="13"/>
      <c r="P222" s="146"/>
      <c r="R222" s="129"/>
      <c r="T222" s="13"/>
    </row>
    <row r="223" spans="1:20" ht="12.75" customHeight="1" x14ac:dyDescent="0.2">
      <c r="A223" s="134"/>
      <c r="B223" s="145"/>
      <c r="C223" s="145"/>
      <c r="D223" s="145"/>
      <c r="E223" s="13"/>
      <c r="F223" s="13"/>
      <c r="G223" s="144"/>
      <c r="H223" s="13"/>
      <c r="I223" s="13"/>
      <c r="J223" s="13"/>
      <c r="K223" s="13"/>
      <c r="L223" s="13"/>
      <c r="M223" s="13"/>
      <c r="N223" s="146"/>
      <c r="O223" s="13"/>
      <c r="P223" s="146"/>
      <c r="R223" s="129"/>
      <c r="T223" s="13"/>
    </row>
    <row r="224" spans="1:20" ht="12.75" customHeight="1" x14ac:dyDescent="0.2">
      <c r="A224" s="134"/>
      <c r="B224" s="145"/>
      <c r="C224" s="145"/>
      <c r="D224" s="145"/>
      <c r="E224" s="13"/>
      <c r="F224" s="13"/>
      <c r="G224" s="144"/>
      <c r="H224" s="13"/>
      <c r="I224" s="13"/>
      <c r="J224" s="13"/>
      <c r="K224" s="13"/>
      <c r="L224" s="13"/>
      <c r="M224" s="13"/>
      <c r="N224" s="146"/>
      <c r="O224" s="13"/>
      <c r="P224" s="146"/>
      <c r="R224" s="129"/>
      <c r="T224" s="13"/>
    </row>
    <row r="225" spans="1:20" ht="12.75" customHeight="1" x14ac:dyDescent="0.2">
      <c r="A225" s="134"/>
      <c r="B225" s="145"/>
      <c r="C225" s="145"/>
      <c r="D225" s="145"/>
      <c r="E225" s="13"/>
      <c r="F225" s="13"/>
      <c r="G225" s="144"/>
      <c r="H225" s="13"/>
      <c r="I225" s="13"/>
      <c r="J225" s="13"/>
      <c r="K225" s="13"/>
      <c r="L225" s="13"/>
      <c r="M225" s="13"/>
      <c r="N225" s="146"/>
      <c r="O225" s="13"/>
      <c r="P225" s="146"/>
      <c r="R225" s="129"/>
      <c r="T225" s="13"/>
    </row>
    <row r="226" spans="1:20" ht="12.75" customHeight="1" x14ac:dyDescent="0.2">
      <c r="A226" s="134"/>
      <c r="B226" s="145"/>
      <c r="C226" s="145"/>
      <c r="D226" s="145"/>
      <c r="E226" s="13"/>
      <c r="F226" s="13"/>
      <c r="G226" s="144"/>
      <c r="H226" s="13"/>
      <c r="I226" s="13"/>
      <c r="J226" s="13"/>
      <c r="K226" s="13"/>
      <c r="L226" s="13"/>
      <c r="M226" s="13"/>
      <c r="N226" s="146"/>
      <c r="O226" s="13"/>
      <c r="P226" s="146"/>
      <c r="R226" s="129"/>
      <c r="T226" s="13"/>
    </row>
    <row r="227" spans="1:20" ht="12.75" customHeight="1" x14ac:dyDescent="0.2">
      <c r="A227" s="134"/>
      <c r="B227" s="145"/>
      <c r="C227" s="145"/>
      <c r="D227" s="145"/>
      <c r="E227" s="13"/>
      <c r="F227" s="13"/>
      <c r="G227" s="144"/>
      <c r="H227" s="13"/>
      <c r="I227" s="13"/>
      <c r="J227" s="13"/>
      <c r="K227" s="13"/>
      <c r="L227" s="13"/>
      <c r="M227" s="13"/>
      <c r="N227" s="146"/>
      <c r="O227" s="13"/>
      <c r="P227" s="146"/>
      <c r="R227" s="129"/>
      <c r="T227" s="13"/>
    </row>
    <row r="228" spans="1:20" ht="12.75" customHeight="1" x14ac:dyDescent="0.2">
      <c r="A228" s="134"/>
      <c r="B228" s="145"/>
      <c r="C228" s="145"/>
      <c r="D228" s="145"/>
      <c r="E228" s="13"/>
      <c r="F228" s="13"/>
      <c r="G228" s="144"/>
      <c r="H228" s="13"/>
      <c r="I228" s="13"/>
      <c r="J228" s="13"/>
      <c r="K228" s="13"/>
      <c r="L228" s="13"/>
      <c r="M228" s="13"/>
      <c r="N228" s="146"/>
      <c r="O228" s="13"/>
      <c r="P228" s="146"/>
      <c r="R228" s="129"/>
      <c r="T228" s="13"/>
    </row>
    <row r="229" spans="1:20" ht="12.75" customHeight="1" x14ac:dyDescent="0.2">
      <c r="A229" s="134"/>
      <c r="B229" s="145"/>
      <c r="C229" s="145"/>
      <c r="D229" s="145"/>
      <c r="E229" s="13"/>
      <c r="F229" s="13"/>
      <c r="G229" s="144"/>
      <c r="H229" s="13"/>
      <c r="I229" s="13"/>
      <c r="J229" s="13"/>
      <c r="K229" s="13"/>
      <c r="L229" s="13"/>
      <c r="M229" s="13"/>
      <c r="N229" s="146"/>
      <c r="O229" s="13"/>
      <c r="P229" s="146"/>
      <c r="R229" s="129"/>
      <c r="T229" s="13"/>
    </row>
    <row r="230" spans="1:20" ht="12.75" customHeight="1" x14ac:dyDescent="0.2">
      <c r="A230" s="134"/>
      <c r="B230" s="145"/>
      <c r="C230" s="145"/>
      <c r="D230" s="145"/>
      <c r="E230" s="13"/>
      <c r="F230" s="13"/>
      <c r="G230" s="144"/>
      <c r="H230" s="13"/>
      <c r="I230" s="13"/>
      <c r="J230" s="13"/>
      <c r="K230" s="13"/>
      <c r="L230" s="13"/>
      <c r="M230" s="13"/>
      <c r="N230" s="146"/>
      <c r="O230" s="13"/>
      <c r="P230" s="146"/>
      <c r="R230" s="129"/>
      <c r="T230" s="13"/>
    </row>
    <row r="231" spans="1:20" ht="12.75" customHeight="1" x14ac:dyDescent="0.2">
      <c r="A231" s="134"/>
      <c r="B231" s="145"/>
      <c r="C231" s="145"/>
      <c r="D231" s="145"/>
      <c r="E231" s="13"/>
      <c r="F231" s="13"/>
      <c r="G231" s="144"/>
      <c r="H231" s="13"/>
      <c r="I231" s="13"/>
      <c r="J231" s="13"/>
      <c r="K231" s="13"/>
      <c r="L231" s="13"/>
      <c r="M231" s="13"/>
      <c r="N231" s="146"/>
      <c r="O231" s="13"/>
      <c r="P231" s="146"/>
      <c r="R231" s="129"/>
      <c r="T231" s="13"/>
    </row>
    <row r="232" spans="1:20" ht="12.75" customHeight="1" x14ac:dyDescent="0.2">
      <c r="A232" s="134"/>
      <c r="B232" s="145"/>
      <c r="C232" s="145"/>
      <c r="D232" s="145"/>
      <c r="E232" s="13"/>
      <c r="F232" s="13"/>
      <c r="G232" s="144"/>
      <c r="H232" s="13"/>
      <c r="I232" s="13"/>
      <c r="J232" s="13"/>
      <c r="K232" s="13"/>
      <c r="L232" s="13"/>
      <c r="M232" s="13"/>
      <c r="N232" s="146"/>
      <c r="O232" s="13"/>
      <c r="P232" s="146"/>
      <c r="R232" s="129"/>
      <c r="T232" s="13"/>
    </row>
    <row r="233" spans="1:20" ht="12.75" customHeight="1" x14ac:dyDescent="0.2">
      <c r="A233" s="134"/>
      <c r="B233" s="145"/>
      <c r="C233" s="145"/>
      <c r="D233" s="145"/>
      <c r="E233" s="13"/>
      <c r="F233" s="13"/>
      <c r="G233" s="144"/>
      <c r="H233" s="13"/>
      <c r="I233" s="13"/>
      <c r="J233" s="13"/>
      <c r="K233" s="13"/>
      <c r="L233" s="13"/>
      <c r="M233" s="13"/>
      <c r="N233" s="146"/>
      <c r="O233" s="13"/>
      <c r="P233" s="146"/>
      <c r="R233" s="129"/>
      <c r="T233" s="13"/>
    </row>
    <row r="234" spans="1:20" ht="12.75" customHeight="1" x14ac:dyDescent="0.2">
      <c r="A234" s="134"/>
      <c r="B234" s="145"/>
      <c r="C234" s="145"/>
      <c r="D234" s="145"/>
      <c r="E234" s="13"/>
      <c r="F234" s="13"/>
      <c r="G234" s="144"/>
      <c r="H234" s="13"/>
      <c r="I234" s="13"/>
      <c r="J234" s="13"/>
      <c r="K234" s="13"/>
      <c r="L234" s="13"/>
      <c r="M234" s="13"/>
      <c r="N234" s="146"/>
      <c r="O234" s="13"/>
      <c r="P234" s="146"/>
      <c r="R234" s="129"/>
      <c r="T234" s="13"/>
    </row>
    <row r="235" spans="1:20" ht="12.75" customHeight="1" x14ac:dyDescent="0.2">
      <c r="A235" s="134"/>
      <c r="B235" s="145"/>
      <c r="C235" s="145"/>
      <c r="D235" s="145"/>
      <c r="E235" s="13"/>
      <c r="F235" s="13"/>
      <c r="G235" s="144"/>
      <c r="H235" s="13"/>
      <c r="I235" s="13"/>
      <c r="J235" s="13"/>
      <c r="K235" s="13"/>
      <c r="L235" s="13"/>
      <c r="M235" s="13"/>
      <c r="N235" s="146"/>
      <c r="O235" s="13"/>
      <c r="P235" s="146"/>
      <c r="R235" s="129"/>
      <c r="T235" s="13"/>
    </row>
    <row r="236" spans="1:20" ht="12.75" customHeight="1" x14ac:dyDescent="0.2">
      <c r="A236" s="134"/>
      <c r="B236" s="145"/>
      <c r="C236" s="145"/>
      <c r="D236" s="145"/>
      <c r="E236" s="13"/>
      <c r="F236" s="13"/>
      <c r="G236" s="144"/>
      <c r="H236" s="13"/>
      <c r="I236" s="13"/>
      <c r="J236" s="13"/>
      <c r="K236" s="13"/>
      <c r="L236" s="13"/>
      <c r="M236" s="13"/>
      <c r="N236" s="146"/>
      <c r="O236" s="13"/>
      <c r="P236" s="146"/>
      <c r="R236" s="129"/>
      <c r="T236" s="13"/>
    </row>
    <row r="237" spans="1:20" ht="12.75" customHeight="1" x14ac:dyDescent="0.2">
      <c r="A237" s="134"/>
      <c r="B237" s="145"/>
      <c r="C237" s="145"/>
      <c r="D237" s="145"/>
      <c r="E237" s="13"/>
      <c r="F237" s="13"/>
      <c r="G237" s="144"/>
      <c r="H237" s="13"/>
      <c r="I237" s="13"/>
      <c r="J237" s="13"/>
      <c r="K237" s="13"/>
      <c r="L237" s="13"/>
      <c r="M237" s="13"/>
      <c r="N237" s="146"/>
      <c r="O237" s="13"/>
      <c r="P237" s="146"/>
      <c r="R237" s="129"/>
      <c r="T237" s="13"/>
    </row>
    <row r="238" spans="1:20" ht="12.75" customHeight="1" x14ac:dyDescent="0.2">
      <c r="A238" s="134"/>
      <c r="B238" s="145"/>
      <c r="C238" s="145"/>
      <c r="D238" s="145"/>
      <c r="E238" s="13"/>
      <c r="F238" s="13"/>
      <c r="G238" s="144"/>
      <c r="H238" s="13"/>
      <c r="I238" s="13"/>
      <c r="J238" s="13"/>
      <c r="K238" s="13"/>
      <c r="L238" s="13"/>
      <c r="M238" s="13"/>
      <c r="N238" s="146"/>
      <c r="O238" s="13"/>
      <c r="P238" s="146"/>
      <c r="R238" s="129"/>
      <c r="T238" s="13"/>
    </row>
    <row r="239" spans="1:20" ht="12.75" customHeight="1" x14ac:dyDescent="0.2">
      <c r="A239" s="134"/>
      <c r="B239" s="145"/>
      <c r="C239" s="145"/>
      <c r="D239" s="145"/>
      <c r="E239" s="13"/>
      <c r="F239" s="13"/>
      <c r="G239" s="144"/>
      <c r="H239" s="13"/>
      <c r="I239" s="13"/>
      <c r="J239" s="13"/>
      <c r="K239" s="13"/>
      <c r="L239" s="13"/>
      <c r="M239" s="13"/>
      <c r="N239" s="146"/>
      <c r="O239" s="13"/>
      <c r="P239" s="146"/>
      <c r="R239" s="129"/>
      <c r="T239" s="13"/>
    </row>
    <row r="240" spans="1:20" ht="12.75" customHeight="1" x14ac:dyDescent="0.2">
      <c r="A240" s="134"/>
      <c r="B240" s="145"/>
      <c r="C240" s="145"/>
      <c r="D240" s="145"/>
      <c r="E240" s="13"/>
      <c r="F240" s="13"/>
      <c r="G240" s="144"/>
      <c r="H240" s="13"/>
      <c r="I240" s="13"/>
      <c r="J240" s="13"/>
      <c r="K240" s="13"/>
      <c r="L240" s="13"/>
      <c r="M240" s="13"/>
      <c r="N240" s="146"/>
      <c r="O240" s="13"/>
      <c r="P240" s="146"/>
      <c r="R240" s="129"/>
      <c r="T240" s="13"/>
    </row>
    <row r="241" spans="1:20" ht="12.75" customHeight="1" x14ac:dyDescent="0.2">
      <c r="A241" s="134"/>
      <c r="B241" s="145"/>
      <c r="C241" s="145"/>
      <c r="D241" s="145"/>
      <c r="E241" s="13"/>
      <c r="F241" s="13"/>
      <c r="G241" s="144"/>
      <c r="H241" s="13"/>
      <c r="I241" s="13"/>
      <c r="J241" s="13"/>
      <c r="K241" s="13"/>
      <c r="L241" s="13"/>
      <c r="M241" s="13"/>
      <c r="N241" s="146"/>
      <c r="O241" s="13"/>
      <c r="P241" s="146"/>
      <c r="R241" s="129"/>
      <c r="T241" s="13"/>
    </row>
    <row r="242" spans="1:20" ht="12.75" customHeight="1" x14ac:dyDescent="0.2">
      <c r="A242" s="134"/>
      <c r="B242" s="145"/>
      <c r="C242" s="145"/>
      <c r="D242" s="145"/>
      <c r="E242" s="13"/>
      <c r="F242" s="13"/>
      <c r="G242" s="144"/>
      <c r="H242" s="13"/>
      <c r="I242" s="13"/>
      <c r="J242" s="13"/>
      <c r="K242" s="13"/>
      <c r="L242" s="13"/>
      <c r="M242" s="13"/>
      <c r="N242" s="146"/>
      <c r="O242" s="13"/>
      <c r="P242" s="146"/>
      <c r="R242" s="129"/>
      <c r="T242" s="13"/>
    </row>
    <row r="243" spans="1:20" ht="12.75" customHeight="1" x14ac:dyDescent="0.2">
      <c r="A243" s="134"/>
      <c r="B243" s="145"/>
      <c r="C243" s="145"/>
      <c r="D243" s="145"/>
      <c r="E243" s="13"/>
      <c r="F243" s="13"/>
      <c r="G243" s="144"/>
      <c r="H243" s="13"/>
      <c r="I243" s="13"/>
      <c r="J243" s="13"/>
      <c r="K243" s="13"/>
      <c r="L243" s="13"/>
      <c r="M243" s="13"/>
      <c r="N243" s="146"/>
      <c r="O243" s="13"/>
      <c r="P243" s="146"/>
      <c r="R243" s="129"/>
      <c r="T243" s="13"/>
    </row>
    <row r="244" spans="1:20" ht="12.75" customHeight="1" x14ac:dyDescent="0.2">
      <c r="A244" s="134"/>
      <c r="B244" s="145"/>
      <c r="C244" s="145"/>
      <c r="D244" s="145"/>
      <c r="E244" s="13"/>
      <c r="F244" s="13"/>
      <c r="G244" s="144"/>
      <c r="H244" s="13"/>
      <c r="I244" s="13"/>
      <c r="J244" s="13"/>
      <c r="K244" s="13"/>
      <c r="L244" s="13"/>
      <c r="M244" s="13"/>
      <c r="N244" s="146"/>
      <c r="O244" s="13"/>
      <c r="P244" s="146"/>
      <c r="R244" s="129"/>
      <c r="T244" s="13"/>
    </row>
    <row r="245" spans="1:20" ht="12.75" customHeight="1" x14ac:dyDescent="0.2">
      <c r="A245" s="134"/>
      <c r="B245" s="145"/>
      <c r="C245" s="145"/>
      <c r="D245" s="145"/>
      <c r="E245" s="13"/>
      <c r="F245" s="13"/>
      <c r="G245" s="144"/>
      <c r="H245" s="13"/>
      <c r="I245" s="13"/>
      <c r="J245" s="13"/>
      <c r="K245" s="13"/>
      <c r="L245" s="13"/>
      <c r="M245" s="13"/>
      <c r="N245" s="146"/>
      <c r="O245" s="13"/>
      <c r="P245" s="146"/>
      <c r="R245" s="129"/>
      <c r="T245" s="13"/>
    </row>
    <row r="246" spans="1:20" ht="12.75" customHeight="1" x14ac:dyDescent="0.2">
      <c r="A246" s="134"/>
      <c r="B246" s="145"/>
      <c r="C246" s="145"/>
      <c r="D246" s="145"/>
      <c r="E246" s="13"/>
      <c r="F246" s="13"/>
      <c r="G246" s="144"/>
      <c r="H246" s="13"/>
      <c r="I246" s="13"/>
      <c r="J246" s="13"/>
      <c r="K246" s="13"/>
      <c r="L246" s="13"/>
      <c r="M246" s="13"/>
      <c r="N246" s="146"/>
      <c r="O246" s="13"/>
      <c r="P246" s="146"/>
      <c r="R246" s="129"/>
      <c r="T246" s="13"/>
    </row>
    <row r="247" spans="1:20" ht="12.75" customHeight="1" x14ac:dyDescent="0.2">
      <c r="A247" s="134"/>
      <c r="B247" s="145"/>
      <c r="C247" s="145"/>
      <c r="D247" s="145"/>
      <c r="E247" s="13"/>
      <c r="F247" s="13"/>
      <c r="G247" s="144"/>
      <c r="H247" s="13"/>
      <c r="I247" s="13"/>
      <c r="J247" s="13"/>
      <c r="K247" s="13"/>
      <c r="L247" s="13"/>
      <c r="M247" s="13"/>
      <c r="N247" s="146"/>
      <c r="O247" s="13"/>
      <c r="P247" s="146"/>
      <c r="R247" s="129"/>
      <c r="T247" s="13"/>
    </row>
    <row r="248" spans="1:20" ht="12.75" customHeight="1" x14ac:dyDescent="0.2">
      <c r="A248" s="134"/>
      <c r="B248" s="145"/>
      <c r="C248" s="145"/>
      <c r="D248" s="145"/>
      <c r="E248" s="13"/>
      <c r="F248" s="13"/>
      <c r="G248" s="144"/>
      <c r="H248" s="13"/>
      <c r="I248" s="13"/>
      <c r="J248" s="13"/>
      <c r="K248" s="13"/>
      <c r="L248" s="13"/>
      <c r="M248" s="13"/>
      <c r="N248" s="146"/>
      <c r="O248" s="13"/>
      <c r="P248" s="146"/>
      <c r="R248" s="129"/>
      <c r="T248" s="13"/>
    </row>
    <row r="249" spans="1:20" ht="12.75" customHeight="1" x14ac:dyDescent="0.2">
      <c r="A249" s="134"/>
      <c r="B249" s="145"/>
      <c r="C249" s="145"/>
      <c r="D249" s="145"/>
      <c r="E249" s="13"/>
      <c r="F249" s="13"/>
      <c r="G249" s="144"/>
      <c r="H249" s="13"/>
      <c r="I249" s="13"/>
      <c r="J249" s="13"/>
      <c r="K249" s="13"/>
      <c r="L249" s="13"/>
      <c r="M249" s="13"/>
      <c r="N249" s="146"/>
      <c r="O249" s="13"/>
      <c r="P249" s="146"/>
      <c r="R249" s="129"/>
      <c r="T249" s="13"/>
    </row>
    <row r="250" spans="1:20" ht="12.75" customHeight="1" x14ac:dyDescent="0.2">
      <c r="A250" s="134"/>
      <c r="B250" s="145"/>
      <c r="C250" s="145"/>
      <c r="D250" s="145"/>
      <c r="E250" s="13"/>
      <c r="F250" s="13"/>
      <c r="G250" s="144"/>
      <c r="H250" s="13"/>
      <c r="I250" s="13"/>
      <c r="J250" s="13"/>
      <c r="K250" s="13"/>
      <c r="L250" s="13"/>
      <c r="M250" s="13"/>
      <c r="N250" s="146"/>
      <c r="O250" s="13"/>
      <c r="P250" s="146"/>
      <c r="R250" s="129"/>
      <c r="T250" s="13"/>
    </row>
    <row r="251" spans="1:20" ht="12.75" customHeight="1" x14ac:dyDescent="0.2">
      <c r="A251" s="134"/>
      <c r="B251" s="145"/>
      <c r="C251" s="145"/>
      <c r="D251" s="145"/>
      <c r="E251" s="13"/>
      <c r="F251" s="13"/>
      <c r="G251" s="144"/>
      <c r="H251" s="13"/>
      <c r="I251" s="13"/>
      <c r="J251" s="13"/>
      <c r="K251" s="13"/>
      <c r="L251" s="13"/>
      <c r="M251" s="13"/>
      <c r="N251" s="146"/>
      <c r="O251" s="13"/>
      <c r="P251" s="146"/>
      <c r="R251" s="129"/>
      <c r="T251" s="13"/>
    </row>
    <row r="252" spans="1:20" ht="12.75" customHeight="1" x14ac:dyDescent="0.2">
      <c r="A252" s="134"/>
      <c r="B252" s="145"/>
      <c r="C252" s="145"/>
      <c r="D252" s="145"/>
      <c r="E252" s="13"/>
      <c r="F252" s="13"/>
      <c r="G252" s="144"/>
      <c r="H252" s="13"/>
      <c r="I252" s="13"/>
      <c r="J252" s="13"/>
      <c r="K252" s="13"/>
      <c r="L252" s="13"/>
      <c r="M252" s="13"/>
      <c r="N252" s="146"/>
      <c r="O252" s="13"/>
      <c r="P252" s="146"/>
      <c r="R252" s="129"/>
      <c r="T252" s="13"/>
    </row>
    <row r="253" spans="1:20" ht="12.75" customHeight="1" x14ac:dyDescent="0.2">
      <c r="A253" s="134"/>
      <c r="B253" s="145"/>
      <c r="C253" s="145"/>
      <c r="D253" s="145"/>
      <c r="E253" s="13"/>
      <c r="F253" s="13"/>
      <c r="G253" s="144"/>
      <c r="H253" s="13"/>
      <c r="I253" s="13"/>
      <c r="J253" s="13"/>
      <c r="K253" s="13"/>
      <c r="L253" s="13"/>
      <c r="M253" s="13"/>
      <c r="N253" s="146"/>
      <c r="O253" s="13"/>
      <c r="P253" s="146"/>
      <c r="R253" s="129"/>
      <c r="T253" s="13"/>
    </row>
    <row r="254" spans="1:20" ht="12.75" customHeight="1" x14ac:dyDescent="0.2">
      <c r="A254" s="134"/>
      <c r="B254" s="145"/>
      <c r="C254" s="145"/>
      <c r="D254" s="145"/>
      <c r="E254" s="13"/>
      <c r="F254" s="13"/>
      <c r="G254" s="144"/>
      <c r="H254" s="13"/>
      <c r="I254" s="13"/>
      <c r="J254" s="13"/>
      <c r="K254" s="13"/>
      <c r="L254" s="13"/>
      <c r="M254" s="13"/>
      <c r="N254" s="146"/>
      <c r="O254" s="13"/>
      <c r="P254" s="146"/>
      <c r="R254" s="129"/>
      <c r="T254" s="13"/>
    </row>
    <row r="255" spans="1:20" ht="12.75" customHeight="1" x14ac:dyDescent="0.2">
      <c r="A255" s="134"/>
      <c r="B255" s="145"/>
      <c r="C255" s="145"/>
      <c r="D255" s="145"/>
      <c r="E255" s="13"/>
      <c r="F255" s="13"/>
      <c r="G255" s="144"/>
      <c r="H255" s="13"/>
      <c r="I255" s="13"/>
      <c r="J255" s="13"/>
      <c r="K255" s="13"/>
      <c r="L255" s="13"/>
      <c r="M255" s="13"/>
      <c r="N255" s="146"/>
      <c r="O255" s="13"/>
      <c r="P255" s="146"/>
      <c r="R255" s="129"/>
      <c r="T255" s="13"/>
    </row>
    <row r="256" spans="1:20" ht="12.75" customHeight="1" x14ac:dyDescent="0.2">
      <c r="A256" s="134"/>
      <c r="B256" s="145"/>
      <c r="C256" s="145"/>
      <c r="D256" s="145"/>
      <c r="E256" s="13"/>
      <c r="F256" s="13"/>
      <c r="G256" s="144"/>
      <c r="H256" s="13"/>
      <c r="I256" s="13"/>
      <c r="J256" s="13"/>
      <c r="K256" s="13"/>
      <c r="L256" s="13"/>
      <c r="M256" s="13"/>
      <c r="N256" s="146"/>
      <c r="O256" s="13"/>
      <c r="P256" s="146"/>
      <c r="R256" s="129"/>
      <c r="T256" s="13"/>
    </row>
    <row r="257" spans="1:20" ht="12.75" customHeight="1" x14ac:dyDescent="0.2">
      <c r="A257" s="134"/>
      <c r="B257" s="145"/>
      <c r="C257" s="145"/>
      <c r="D257" s="145"/>
      <c r="E257" s="13"/>
      <c r="F257" s="13"/>
      <c r="G257" s="144"/>
      <c r="H257" s="13"/>
      <c r="I257" s="13"/>
      <c r="J257" s="13"/>
      <c r="K257" s="13"/>
      <c r="L257" s="13"/>
      <c r="M257" s="13"/>
      <c r="N257" s="146"/>
      <c r="O257" s="13"/>
      <c r="P257" s="146"/>
      <c r="R257" s="129"/>
      <c r="T257" s="13"/>
    </row>
    <row r="258" spans="1:20" ht="12.75" customHeight="1" x14ac:dyDescent="0.2">
      <c r="A258" s="134"/>
      <c r="B258" s="145"/>
      <c r="C258" s="145"/>
      <c r="D258" s="145"/>
      <c r="E258" s="13"/>
      <c r="F258" s="13"/>
      <c r="G258" s="144"/>
      <c r="H258" s="13"/>
      <c r="I258" s="13"/>
      <c r="J258" s="13"/>
      <c r="K258" s="13"/>
      <c r="L258" s="13"/>
      <c r="M258" s="13"/>
      <c r="N258" s="146"/>
      <c r="O258" s="13"/>
      <c r="P258" s="146"/>
      <c r="R258" s="129"/>
      <c r="T258" s="13"/>
    </row>
    <row r="259" spans="1:20" ht="12.75" customHeight="1" x14ac:dyDescent="0.2">
      <c r="A259" s="134"/>
      <c r="B259" s="145"/>
      <c r="C259" s="145"/>
      <c r="D259" s="145"/>
      <c r="E259" s="13"/>
      <c r="F259" s="13"/>
      <c r="G259" s="144"/>
      <c r="H259" s="13"/>
      <c r="I259" s="13"/>
      <c r="J259" s="13"/>
      <c r="K259" s="13"/>
      <c r="L259" s="13"/>
      <c r="M259" s="13"/>
      <c r="N259" s="146"/>
      <c r="O259" s="13"/>
      <c r="P259" s="146"/>
      <c r="R259" s="129"/>
      <c r="T259" s="13"/>
    </row>
    <row r="260" spans="1:20" ht="12.75" customHeight="1" x14ac:dyDescent="0.2">
      <c r="A260" s="134"/>
      <c r="B260" s="145"/>
      <c r="C260" s="145"/>
      <c r="D260" s="145"/>
      <c r="E260" s="13"/>
      <c r="F260" s="13"/>
      <c r="G260" s="144"/>
      <c r="H260" s="13"/>
      <c r="I260" s="13"/>
      <c r="J260" s="13"/>
      <c r="K260" s="13"/>
      <c r="L260" s="13"/>
      <c r="M260" s="13"/>
      <c r="N260" s="146"/>
      <c r="O260" s="13"/>
      <c r="P260" s="146"/>
      <c r="R260" s="129"/>
      <c r="T260" s="13"/>
    </row>
    <row r="261" spans="1:20" ht="12.75" customHeight="1" x14ac:dyDescent="0.2">
      <c r="A261" s="134"/>
      <c r="B261" s="145"/>
      <c r="C261" s="145"/>
      <c r="D261" s="145"/>
      <c r="E261" s="13"/>
      <c r="F261" s="13"/>
      <c r="G261" s="144"/>
      <c r="H261" s="13"/>
      <c r="I261" s="13"/>
      <c r="J261" s="13"/>
      <c r="K261" s="13"/>
      <c r="L261" s="13"/>
      <c r="M261" s="13"/>
      <c r="N261" s="146"/>
      <c r="O261" s="13"/>
      <c r="P261" s="146"/>
      <c r="R261" s="129"/>
      <c r="T261" s="13"/>
    </row>
    <row r="262" spans="1:20" ht="12.75" customHeight="1" x14ac:dyDescent="0.2">
      <c r="A262" s="134"/>
      <c r="B262" s="145"/>
      <c r="C262" s="145"/>
      <c r="D262" s="145"/>
      <c r="E262" s="13"/>
      <c r="F262" s="13"/>
      <c r="G262" s="144"/>
      <c r="H262" s="13"/>
      <c r="I262" s="13"/>
      <c r="J262" s="13"/>
      <c r="K262" s="13"/>
      <c r="L262" s="13"/>
      <c r="M262" s="13"/>
      <c r="N262" s="146"/>
      <c r="O262" s="13"/>
      <c r="P262" s="146"/>
      <c r="R262" s="129"/>
      <c r="T262" s="13"/>
    </row>
    <row r="263" spans="1:20" ht="12.75" customHeight="1" x14ac:dyDescent="0.2">
      <c r="A263" s="134"/>
      <c r="B263" s="145"/>
      <c r="C263" s="145"/>
      <c r="D263" s="145"/>
      <c r="E263" s="13"/>
      <c r="F263" s="13"/>
      <c r="G263" s="144"/>
      <c r="H263" s="13"/>
      <c r="I263" s="13"/>
      <c r="J263" s="13"/>
      <c r="K263" s="13"/>
      <c r="L263" s="13"/>
      <c r="M263" s="13"/>
      <c r="N263" s="146"/>
      <c r="O263" s="13"/>
      <c r="P263" s="146"/>
      <c r="R263" s="129"/>
      <c r="T263" s="13"/>
    </row>
    <row r="264" spans="1:20" ht="12.75" customHeight="1" x14ac:dyDescent="0.2">
      <c r="A264" s="134"/>
      <c r="B264" s="145"/>
      <c r="C264" s="145"/>
      <c r="D264" s="145"/>
      <c r="E264" s="13"/>
      <c r="F264" s="13"/>
      <c r="G264" s="144"/>
      <c r="H264" s="13"/>
      <c r="I264" s="13"/>
      <c r="J264" s="13"/>
      <c r="K264" s="13"/>
      <c r="L264" s="13"/>
      <c r="M264" s="13"/>
      <c r="N264" s="146"/>
      <c r="O264" s="13"/>
      <c r="P264" s="146"/>
      <c r="R264" s="129"/>
      <c r="T264" s="13"/>
    </row>
    <row r="265" spans="1:20" ht="12.75" customHeight="1" x14ac:dyDescent="0.2">
      <c r="A265" s="134"/>
      <c r="B265" s="145"/>
      <c r="C265" s="145"/>
      <c r="D265" s="145"/>
      <c r="E265" s="13"/>
      <c r="F265" s="13"/>
      <c r="G265" s="144"/>
      <c r="H265" s="13"/>
      <c r="I265" s="13"/>
      <c r="J265" s="13"/>
      <c r="K265" s="13"/>
      <c r="L265" s="13"/>
      <c r="M265" s="13"/>
      <c r="N265" s="146"/>
      <c r="O265" s="13"/>
      <c r="P265" s="146"/>
      <c r="R265" s="129"/>
      <c r="T265" s="13"/>
    </row>
    <row r="266" spans="1:20" ht="12.75" customHeight="1" x14ac:dyDescent="0.2">
      <c r="A266" s="134"/>
      <c r="B266" s="145"/>
      <c r="C266" s="145"/>
      <c r="D266" s="145"/>
      <c r="E266" s="13"/>
      <c r="F266" s="13"/>
      <c r="G266" s="144"/>
      <c r="H266" s="13"/>
      <c r="I266" s="13"/>
      <c r="J266" s="13"/>
      <c r="K266" s="13"/>
      <c r="L266" s="13"/>
      <c r="M266" s="13"/>
      <c r="N266" s="146"/>
      <c r="O266" s="13"/>
      <c r="P266" s="146"/>
      <c r="R266" s="129"/>
      <c r="T266" s="13"/>
    </row>
    <row r="267" spans="1:20" ht="12.75" customHeight="1" x14ac:dyDescent="0.2">
      <c r="A267" s="134"/>
      <c r="B267" s="145"/>
      <c r="C267" s="145"/>
      <c r="D267" s="145"/>
      <c r="E267" s="13"/>
      <c r="F267" s="13"/>
      <c r="G267" s="144"/>
      <c r="H267" s="13"/>
      <c r="I267" s="13"/>
      <c r="J267" s="13"/>
      <c r="K267" s="13"/>
      <c r="L267" s="13"/>
      <c r="M267" s="13"/>
      <c r="N267" s="146"/>
      <c r="O267" s="13"/>
      <c r="P267" s="146"/>
      <c r="R267" s="129"/>
      <c r="T267" s="13"/>
    </row>
    <row r="268" spans="1:20" ht="12.75" customHeight="1" x14ac:dyDescent="0.2">
      <c r="A268" s="134"/>
      <c r="B268" s="145"/>
      <c r="C268" s="145"/>
      <c r="D268" s="145"/>
      <c r="E268" s="13"/>
      <c r="F268" s="13"/>
      <c r="G268" s="144"/>
      <c r="H268" s="13"/>
      <c r="I268" s="13"/>
      <c r="J268" s="13"/>
      <c r="K268" s="13"/>
      <c r="L268" s="13"/>
      <c r="M268" s="13"/>
      <c r="N268" s="146"/>
      <c r="O268" s="13"/>
      <c r="P268" s="146"/>
      <c r="R268" s="129"/>
      <c r="T268" s="13"/>
    </row>
    <row r="269" spans="1:20" ht="12.75" customHeight="1" x14ac:dyDescent="0.2">
      <c r="A269" s="134"/>
      <c r="B269" s="145"/>
      <c r="C269" s="145"/>
      <c r="D269" s="145"/>
      <c r="E269" s="13"/>
      <c r="F269" s="13"/>
      <c r="G269" s="144"/>
      <c r="H269" s="13"/>
      <c r="I269" s="13"/>
      <c r="J269" s="13"/>
      <c r="K269" s="13"/>
      <c r="L269" s="13"/>
      <c r="M269" s="13"/>
      <c r="N269" s="146"/>
      <c r="O269" s="13"/>
      <c r="P269" s="146"/>
      <c r="R269" s="129"/>
      <c r="T269" s="13"/>
    </row>
    <row r="270" spans="1:20" ht="12.75" customHeight="1" x14ac:dyDescent="0.2">
      <c r="A270" s="134"/>
      <c r="B270" s="145"/>
      <c r="C270" s="145"/>
      <c r="D270" s="145"/>
      <c r="E270" s="13"/>
      <c r="F270" s="13"/>
      <c r="G270" s="144"/>
      <c r="H270" s="13"/>
      <c r="I270" s="13"/>
      <c r="J270" s="13"/>
      <c r="K270" s="13"/>
      <c r="L270" s="13"/>
      <c r="M270" s="13"/>
      <c r="N270" s="146"/>
      <c r="O270" s="13"/>
      <c r="P270" s="146"/>
      <c r="R270" s="129"/>
      <c r="T270" s="13"/>
    </row>
    <row r="271" spans="1:20" ht="12.75" customHeight="1" x14ac:dyDescent="0.2">
      <c r="A271" s="134"/>
      <c r="B271" s="145"/>
      <c r="C271" s="145"/>
      <c r="D271" s="145"/>
      <c r="E271" s="13"/>
      <c r="F271" s="13"/>
      <c r="G271" s="144"/>
      <c r="H271" s="13"/>
      <c r="I271" s="13"/>
      <c r="J271" s="13"/>
      <c r="K271" s="13"/>
      <c r="L271" s="13"/>
      <c r="M271" s="13"/>
      <c r="N271" s="146"/>
      <c r="O271" s="13"/>
      <c r="P271" s="146"/>
      <c r="R271" s="129"/>
      <c r="T271" s="13"/>
    </row>
    <row r="272" spans="1:20" ht="12.75" customHeight="1" x14ac:dyDescent="0.2">
      <c r="A272" s="134"/>
      <c r="B272" s="145"/>
      <c r="C272" s="145"/>
      <c r="D272" s="145"/>
      <c r="E272" s="13"/>
      <c r="F272" s="13"/>
      <c r="G272" s="144"/>
      <c r="H272" s="13"/>
      <c r="I272" s="13"/>
      <c r="J272" s="13"/>
      <c r="K272" s="13"/>
      <c r="L272" s="13"/>
      <c r="M272" s="13"/>
      <c r="N272" s="146"/>
      <c r="O272" s="13"/>
      <c r="P272" s="146"/>
      <c r="R272" s="129"/>
      <c r="T272" s="13"/>
    </row>
    <row r="273" spans="1:20" ht="12.75" customHeight="1" x14ac:dyDescent="0.2">
      <c r="A273" s="134"/>
      <c r="B273" s="145"/>
      <c r="C273" s="145"/>
      <c r="D273" s="145"/>
      <c r="E273" s="13"/>
      <c r="F273" s="13"/>
      <c r="G273" s="144"/>
      <c r="H273" s="13"/>
      <c r="I273" s="13"/>
      <c r="J273" s="13"/>
      <c r="K273" s="13"/>
      <c r="L273" s="13"/>
      <c r="M273" s="13"/>
      <c r="N273" s="146"/>
      <c r="O273" s="13"/>
      <c r="P273" s="146"/>
      <c r="R273" s="129"/>
      <c r="T273" s="13"/>
    </row>
    <row r="274" spans="1:20" ht="12.75" customHeight="1" x14ac:dyDescent="0.2">
      <c r="A274" s="134"/>
      <c r="B274" s="145"/>
      <c r="C274" s="145"/>
      <c r="D274" s="145"/>
      <c r="E274" s="13"/>
      <c r="F274" s="13"/>
      <c r="G274" s="144"/>
      <c r="H274" s="13"/>
      <c r="I274" s="13"/>
      <c r="J274" s="13"/>
      <c r="K274" s="13"/>
      <c r="L274" s="13"/>
      <c r="M274" s="13"/>
      <c r="N274" s="146"/>
      <c r="O274" s="13"/>
      <c r="P274" s="146"/>
      <c r="R274" s="129"/>
      <c r="T274" s="13"/>
    </row>
    <row r="275" spans="1:20" ht="12.75" customHeight="1" x14ac:dyDescent="0.2">
      <c r="A275" s="134"/>
      <c r="B275" s="145"/>
      <c r="C275" s="145"/>
      <c r="D275" s="145"/>
      <c r="E275" s="13"/>
      <c r="F275" s="13"/>
      <c r="G275" s="144"/>
      <c r="H275" s="13"/>
      <c r="I275" s="13"/>
      <c r="J275" s="13"/>
      <c r="K275" s="13"/>
      <c r="L275" s="13"/>
      <c r="M275" s="13"/>
      <c r="N275" s="146"/>
      <c r="O275" s="13"/>
      <c r="P275" s="146"/>
      <c r="R275" s="129"/>
      <c r="T275" s="13"/>
    </row>
    <row r="276" spans="1:20" ht="12.75" customHeight="1" x14ac:dyDescent="0.2">
      <c r="A276" s="134"/>
      <c r="B276" s="145"/>
      <c r="C276" s="145"/>
      <c r="D276" s="145"/>
      <c r="E276" s="13"/>
      <c r="F276" s="13"/>
      <c r="G276" s="144"/>
      <c r="H276" s="13"/>
      <c r="I276" s="13"/>
      <c r="J276" s="13"/>
      <c r="K276" s="13"/>
      <c r="L276" s="13"/>
      <c r="M276" s="13"/>
      <c r="N276" s="146"/>
      <c r="O276" s="13"/>
      <c r="P276" s="146"/>
      <c r="R276" s="129"/>
      <c r="T276" s="13"/>
    </row>
    <row r="277" spans="1:20" ht="12.75" customHeight="1" x14ac:dyDescent="0.2">
      <c r="A277" s="134"/>
      <c r="B277" s="145"/>
      <c r="C277" s="145"/>
      <c r="D277" s="145"/>
      <c r="E277" s="13"/>
      <c r="F277" s="13"/>
      <c r="G277" s="144"/>
      <c r="H277" s="13"/>
      <c r="I277" s="13"/>
      <c r="J277" s="13"/>
      <c r="K277" s="13"/>
      <c r="L277" s="13"/>
      <c r="M277" s="13"/>
      <c r="N277" s="146"/>
      <c r="O277" s="13"/>
      <c r="P277" s="146"/>
      <c r="R277" s="129"/>
      <c r="T277" s="13"/>
    </row>
    <row r="278" spans="1:20" ht="12.75" customHeight="1" x14ac:dyDescent="0.2">
      <c r="A278" s="134"/>
      <c r="B278" s="145"/>
      <c r="C278" s="145"/>
      <c r="D278" s="145"/>
      <c r="E278" s="13"/>
      <c r="F278" s="13"/>
      <c r="G278" s="144"/>
      <c r="H278" s="13"/>
      <c r="I278" s="13"/>
      <c r="J278" s="13"/>
      <c r="K278" s="13"/>
      <c r="L278" s="13"/>
      <c r="M278" s="13"/>
      <c r="N278" s="146"/>
      <c r="O278" s="13"/>
      <c r="P278" s="146"/>
      <c r="R278" s="129"/>
      <c r="T278" s="13"/>
    </row>
    <row r="279" spans="1:20" ht="12.75" customHeight="1" x14ac:dyDescent="0.2">
      <c r="A279" s="134"/>
      <c r="B279" s="145"/>
      <c r="C279" s="145"/>
      <c r="D279" s="145"/>
      <c r="E279" s="13"/>
      <c r="F279" s="13"/>
      <c r="G279" s="144"/>
      <c r="H279" s="13"/>
      <c r="I279" s="13"/>
      <c r="J279" s="13"/>
      <c r="K279" s="13"/>
      <c r="L279" s="13"/>
      <c r="M279" s="13"/>
      <c r="N279" s="146"/>
      <c r="O279" s="13"/>
      <c r="P279" s="146"/>
      <c r="R279" s="129"/>
      <c r="T279" s="13"/>
    </row>
    <row r="280" spans="1:20" ht="12.75" customHeight="1" x14ac:dyDescent="0.2">
      <c r="A280" s="134"/>
      <c r="B280" s="145"/>
      <c r="C280" s="145"/>
      <c r="D280" s="145"/>
      <c r="E280" s="13"/>
      <c r="F280" s="13"/>
      <c r="G280" s="144"/>
      <c r="H280" s="13"/>
      <c r="I280" s="13"/>
      <c r="J280" s="13"/>
      <c r="K280" s="13"/>
      <c r="L280" s="13"/>
      <c r="M280" s="13"/>
      <c r="N280" s="146"/>
      <c r="O280" s="13"/>
      <c r="P280" s="146"/>
      <c r="R280" s="129"/>
      <c r="T280" s="13"/>
    </row>
    <row r="281" spans="1:20" ht="12.75" customHeight="1" x14ac:dyDescent="0.2">
      <c r="A281" s="134"/>
      <c r="B281" s="145"/>
      <c r="C281" s="145"/>
      <c r="D281" s="145"/>
      <c r="E281" s="13"/>
      <c r="F281" s="13"/>
      <c r="G281" s="144"/>
      <c r="H281" s="13"/>
      <c r="I281" s="13"/>
      <c r="J281" s="13"/>
      <c r="K281" s="13"/>
      <c r="L281" s="13"/>
      <c r="M281" s="13"/>
      <c r="N281" s="146"/>
      <c r="O281" s="13"/>
      <c r="P281" s="146"/>
      <c r="R281" s="129"/>
      <c r="T281" s="13"/>
    </row>
    <row r="282" spans="1:20" ht="12.75" customHeight="1" x14ac:dyDescent="0.2">
      <c r="A282" s="134"/>
      <c r="B282" s="145"/>
      <c r="C282" s="145"/>
      <c r="D282" s="145"/>
      <c r="E282" s="13"/>
      <c r="F282" s="13"/>
      <c r="G282" s="144"/>
      <c r="H282" s="13"/>
      <c r="I282" s="13"/>
      <c r="J282" s="13"/>
      <c r="K282" s="13"/>
      <c r="L282" s="13"/>
      <c r="M282" s="13"/>
      <c r="N282" s="146"/>
      <c r="O282" s="13"/>
      <c r="P282" s="146"/>
      <c r="R282" s="129"/>
      <c r="T282" s="13"/>
    </row>
    <row r="283" spans="1:20" ht="12.75" customHeight="1" x14ac:dyDescent="0.2">
      <c r="A283" s="134"/>
      <c r="B283" s="145"/>
      <c r="C283" s="145"/>
      <c r="D283" s="145"/>
      <c r="E283" s="13"/>
      <c r="F283" s="13"/>
      <c r="G283" s="144"/>
      <c r="H283" s="13"/>
      <c r="I283" s="13"/>
      <c r="J283" s="13"/>
      <c r="K283" s="13"/>
      <c r="L283" s="13"/>
      <c r="M283" s="13"/>
      <c r="N283" s="146"/>
      <c r="O283" s="13"/>
      <c r="P283" s="146"/>
      <c r="R283" s="129"/>
      <c r="T283" s="13"/>
    </row>
    <row r="284" spans="1:20" ht="12.75" customHeight="1" x14ac:dyDescent="0.2">
      <c r="A284" s="134"/>
      <c r="B284" s="145"/>
      <c r="C284" s="145"/>
      <c r="D284" s="145"/>
      <c r="E284" s="13"/>
      <c r="F284" s="13"/>
      <c r="G284" s="144"/>
      <c r="H284" s="13"/>
      <c r="I284" s="13"/>
      <c r="J284" s="13"/>
      <c r="K284" s="13"/>
      <c r="L284" s="13"/>
      <c r="M284" s="13"/>
      <c r="N284" s="146"/>
      <c r="O284" s="13"/>
      <c r="P284" s="146"/>
      <c r="R284" s="129"/>
      <c r="T284" s="13"/>
    </row>
    <row r="285" spans="1:20" ht="12.75" customHeight="1" x14ac:dyDescent="0.2">
      <c r="A285" s="134"/>
      <c r="B285" s="145"/>
      <c r="C285" s="145"/>
      <c r="D285" s="145"/>
      <c r="E285" s="13"/>
      <c r="F285" s="13"/>
      <c r="G285" s="144"/>
      <c r="H285" s="13"/>
      <c r="I285" s="13"/>
      <c r="J285" s="13"/>
      <c r="K285" s="13"/>
      <c r="L285" s="13"/>
      <c r="M285" s="13"/>
      <c r="N285" s="146"/>
      <c r="O285" s="13"/>
      <c r="P285" s="146"/>
      <c r="R285" s="129"/>
      <c r="T285" s="13"/>
    </row>
    <row r="286" spans="1:20" ht="12.75" customHeight="1" x14ac:dyDescent="0.2">
      <c r="A286" s="134"/>
      <c r="B286" s="145"/>
      <c r="C286" s="145"/>
      <c r="D286" s="145"/>
      <c r="E286" s="13"/>
      <c r="F286" s="13"/>
      <c r="G286" s="144"/>
      <c r="H286" s="13"/>
      <c r="I286" s="13"/>
      <c r="J286" s="13"/>
      <c r="K286" s="13"/>
      <c r="L286" s="13"/>
      <c r="M286" s="13"/>
      <c r="N286" s="146"/>
      <c r="O286" s="13"/>
      <c r="P286" s="146"/>
      <c r="R286" s="129"/>
      <c r="T286" s="13"/>
    </row>
    <row r="287" spans="1:20" ht="12.75" customHeight="1" x14ac:dyDescent="0.2">
      <c r="A287" s="134"/>
      <c r="B287" s="145"/>
      <c r="C287" s="145"/>
      <c r="D287" s="145"/>
      <c r="E287" s="13"/>
      <c r="F287" s="13"/>
      <c r="G287" s="144"/>
      <c r="H287" s="13"/>
      <c r="I287" s="13"/>
      <c r="J287" s="13"/>
      <c r="K287" s="13"/>
      <c r="L287" s="13"/>
      <c r="M287" s="13"/>
      <c r="N287" s="146"/>
      <c r="O287" s="13"/>
      <c r="P287" s="146"/>
      <c r="R287" s="129"/>
      <c r="T287" s="13"/>
    </row>
    <row r="288" spans="1:20" ht="12.75" customHeight="1" x14ac:dyDescent="0.2">
      <c r="A288" s="134"/>
      <c r="B288" s="145"/>
      <c r="C288" s="145"/>
      <c r="D288" s="145"/>
      <c r="E288" s="13"/>
      <c r="F288" s="13"/>
      <c r="G288" s="144"/>
      <c r="H288" s="13"/>
      <c r="I288" s="13"/>
      <c r="J288" s="13"/>
      <c r="K288" s="13"/>
      <c r="L288" s="13"/>
      <c r="M288" s="13"/>
      <c r="N288" s="146"/>
      <c r="O288" s="13"/>
      <c r="P288" s="146"/>
      <c r="R288" s="129"/>
      <c r="T288" s="13"/>
    </row>
    <row r="289" spans="1:20" ht="12.75" customHeight="1" x14ac:dyDescent="0.2">
      <c r="A289" s="134"/>
      <c r="B289" s="145"/>
      <c r="C289" s="145"/>
      <c r="D289" s="145"/>
      <c r="E289" s="13"/>
      <c r="F289" s="13"/>
      <c r="G289" s="144"/>
      <c r="H289" s="13"/>
      <c r="I289" s="13"/>
      <c r="J289" s="13"/>
      <c r="K289" s="13"/>
      <c r="L289" s="13"/>
      <c r="M289" s="13"/>
      <c r="N289" s="146"/>
      <c r="O289" s="13"/>
      <c r="P289" s="146"/>
      <c r="R289" s="129"/>
      <c r="T289" s="13"/>
    </row>
    <row r="290" spans="1:20" ht="12.75" customHeight="1" x14ac:dyDescent="0.2">
      <c r="A290" s="134"/>
      <c r="B290" s="145"/>
      <c r="C290" s="145"/>
      <c r="D290" s="145"/>
      <c r="E290" s="13"/>
      <c r="F290" s="13"/>
      <c r="G290" s="144"/>
      <c r="H290" s="13"/>
      <c r="I290" s="13"/>
      <c r="J290" s="13"/>
      <c r="K290" s="13"/>
      <c r="L290" s="13"/>
      <c r="M290" s="13"/>
      <c r="N290" s="146"/>
      <c r="O290" s="13"/>
      <c r="P290" s="146"/>
      <c r="R290" s="129"/>
      <c r="T290" s="13"/>
    </row>
    <row r="291" spans="1:20" ht="12.75" customHeight="1" x14ac:dyDescent="0.2">
      <c r="A291" s="134"/>
      <c r="B291" s="145"/>
      <c r="C291" s="145"/>
      <c r="D291" s="145"/>
      <c r="E291" s="13"/>
      <c r="F291" s="13"/>
      <c r="G291" s="144"/>
      <c r="H291" s="13"/>
      <c r="I291" s="13"/>
      <c r="J291" s="13"/>
      <c r="K291" s="13"/>
      <c r="L291" s="13"/>
      <c r="M291" s="13"/>
      <c r="N291" s="146"/>
      <c r="O291" s="13"/>
      <c r="P291" s="146"/>
      <c r="R291" s="129"/>
      <c r="T291" s="13"/>
    </row>
    <row r="292" spans="1:20" ht="12.75" customHeight="1" x14ac:dyDescent="0.2">
      <c r="A292" s="134"/>
      <c r="B292" s="145"/>
      <c r="C292" s="145"/>
      <c r="D292" s="145"/>
      <c r="E292" s="13"/>
      <c r="F292" s="13"/>
      <c r="G292" s="144"/>
      <c r="H292" s="13"/>
      <c r="I292" s="13"/>
      <c r="J292" s="13"/>
      <c r="K292" s="13"/>
      <c r="L292" s="13"/>
      <c r="M292" s="13"/>
      <c r="N292" s="146"/>
      <c r="O292" s="13"/>
      <c r="P292" s="146"/>
      <c r="R292" s="129"/>
      <c r="T292" s="13"/>
    </row>
    <row r="293" spans="1:20" ht="12.75" customHeight="1" x14ac:dyDescent="0.2">
      <c r="A293" s="134"/>
      <c r="B293" s="145"/>
      <c r="C293" s="145"/>
      <c r="D293" s="145"/>
      <c r="E293" s="13"/>
      <c r="F293" s="13"/>
      <c r="G293" s="144"/>
      <c r="H293" s="13"/>
      <c r="I293" s="13"/>
      <c r="J293" s="13"/>
      <c r="K293" s="13"/>
      <c r="L293" s="13"/>
      <c r="M293" s="13"/>
      <c r="N293" s="146"/>
      <c r="O293" s="13"/>
      <c r="P293" s="146"/>
      <c r="R293" s="129"/>
      <c r="T293" s="13"/>
    </row>
    <row r="294" spans="1:20" ht="12.75" customHeight="1" x14ac:dyDescent="0.2">
      <c r="A294" s="134"/>
      <c r="B294" s="145"/>
      <c r="C294" s="145"/>
      <c r="D294" s="145"/>
      <c r="E294" s="13"/>
      <c r="F294" s="13"/>
      <c r="G294" s="144"/>
      <c r="H294" s="13"/>
      <c r="I294" s="13"/>
      <c r="J294" s="13"/>
      <c r="K294" s="13"/>
      <c r="L294" s="13"/>
      <c r="M294" s="13"/>
      <c r="N294" s="146"/>
      <c r="O294" s="13"/>
      <c r="P294" s="146"/>
      <c r="R294" s="129"/>
      <c r="T294" s="13"/>
    </row>
    <row r="295" spans="1:20" ht="12.75" customHeight="1" x14ac:dyDescent="0.2">
      <c r="A295" s="134"/>
      <c r="B295" s="145"/>
      <c r="C295" s="145"/>
      <c r="D295" s="145"/>
      <c r="E295" s="13"/>
      <c r="F295" s="13"/>
      <c r="G295" s="144"/>
      <c r="H295" s="13"/>
      <c r="I295" s="13"/>
      <c r="J295" s="13"/>
      <c r="K295" s="13"/>
      <c r="L295" s="13"/>
      <c r="M295" s="13"/>
      <c r="N295" s="146"/>
      <c r="O295" s="13"/>
      <c r="P295" s="146"/>
      <c r="R295" s="129"/>
      <c r="T295" s="13"/>
    </row>
    <row r="296" spans="1:20" ht="12.75" customHeight="1" x14ac:dyDescent="0.2">
      <c r="A296" s="134"/>
      <c r="B296" s="145"/>
      <c r="C296" s="145"/>
      <c r="D296" s="145"/>
      <c r="E296" s="13"/>
      <c r="F296" s="13"/>
      <c r="G296" s="144"/>
      <c r="H296" s="13"/>
      <c r="I296" s="13"/>
      <c r="J296" s="13"/>
      <c r="K296" s="13"/>
      <c r="L296" s="13"/>
      <c r="M296" s="13"/>
      <c r="N296" s="146"/>
      <c r="O296" s="13"/>
      <c r="P296" s="146"/>
      <c r="R296" s="129"/>
      <c r="T296" s="13"/>
    </row>
    <row r="297" spans="1:20" ht="12.75" customHeight="1" x14ac:dyDescent="0.2">
      <c r="A297" s="134"/>
      <c r="B297" s="145"/>
      <c r="C297" s="145"/>
      <c r="D297" s="145"/>
      <c r="E297" s="13"/>
      <c r="F297" s="13"/>
      <c r="G297" s="144"/>
      <c r="H297" s="13"/>
      <c r="I297" s="13"/>
      <c r="J297" s="13"/>
      <c r="K297" s="13"/>
      <c r="L297" s="13"/>
      <c r="M297" s="13"/>
      <c r="N297" s="146"/>
      <c r="O297" s="13"/>
      <c r="P297" s="146"/>
      <c r="R297" s="129"/>
      <c r="T297" s="13"/>
    </row>
    <row r="298" spans="1:20" ht="12.75" customHeight="1" x14ac:dyDescent="0.2">
      <c r="A298" s="134"/>
      <c r="B298" s="145"/>
      <c r="C298" s="145"/>
      <c r="D298" s="145"/>
      <c r="E298" s="13"/>
      <c r="F298" s="13"/>
      <c r="G298" s="144"/>
      <c r="H298" s="13"/>
      <c r="I298" s="13"/>
      <c r="J298" s="13"/>
      <c r="K298" s="13"/>
      <c r="L298" s="13"/>
      <c r="M298" s="13"/>
      <c r="N298" s="146"/>
      <c r="O298" s="13"/>
      <c r="P298" s="146"/>
      <c r="R298" s="129"/>
      <c r="T298" s="13"/>
    </row>
    <row r="299" spans="1:20" ht="12.75" customHeight="1" x14ac:dyDescent="0.2">
      <c r="A299" s="134"/>
      <c r="B299" s="145"/>
      <c r="C299" s="145"/>
      <c r="D299" s="145"/>
      <c r="E299" s="13"/>
      <c r="F299" s="13"/>
      <c r="G299" s="144"/>
      <c r="H299" s="13"/>
      <c r="I299" s="13"/>
      <c r="J299" s="13"/>
      <c r="K299" s="13"/>
      <c r="L299" s="13"/>
      <c r="M299" s="13"/>
      <c r="N299" s="146"/>
      <c r="O299" s="13"/>
      <c r="P299" s="146"/>
      <c r="R299" s="129"/>
      <c r="T299" s="13"/>
    </row>
    <row r="300" spans="1:20" ht="12.75" customHeight="1" x14ac:dyDescent="0.2">
      <c r="A300" s="134"/>
      <c r="B300" s="145"/>
      <c r="C300" s="145"/>
      <c r="D300" s="145"/>
      <c r="E300" s="13"/>
      <c r="F300" s="13"/>
      <c r="G300" s="144"/>
      <c r="H300" s="13"/>
      <c r="I300" s="13"/>
      <c r="J300" s="13"/>
      <c r="K300" s="13"/>
      <c r="L300" s="13"/>
      <c r="M300" s="13"/>
      <c r="N300" s="146"/>
      <c r="O300" s="13"/>
      <c r="P300" s="146"/>
      <c r="R300" s="129"/>
      <c r="T300" s="13"/>
    </row>
    <row r="301" spans="1:20" ht="12.75" customHeight="1" x14ac:dyDescent="0.2">
      <c r="A301" s="134"/>
      <c r="B301" s="145"/>
      <c r="C301" s="145"/>
      <c r="D301" s="145"/>
      <c r="E301" s="13"/>
      <c r="F301" s="13"/>
      <c r="G301" s="144"/>
      <c r="H301" s="13"/>
      <c r="I301" s="13"/>
      <c r="J301" s="13"/>
      <c r="K301" s="13"/>
      <c r="L301" s="13"/>
      <c r="M301" s="13"/>
      <c r="N301" s="146"/>
      <c r="O301" s="13"/>
      <c r="P301" s="146"/>
      <c r="R301" s="129"/>
      <c r="T301" s="13"/>
    </row>
    <row r="302" spans="1:20" ht="12.75" customHeight="1" x14ac:dyDescent="0.2">
      <c r="A302" s="134"/>
      <c r="B302" s="145"/>
      <c r="C302" s="145"/>
      <c r="D302" s="145"/>
      <c r="E302" s="13"/>
      <c r="F302" s="13"/>
      <c r="G302" s="144"/>
      <c r="H302" s="13"/>
      <c r="I302" s="13"/>
      <c r="J302" s="13"/>
      <c r="K302" s="13"/>
      <c r="L302" s="13"/>
      <c r="M302" s="13"/>
      <c r="N302" s="146"/>
      <c r="O302" s="13"/>
      <c r="P302" s="146"/>
      <c r="R302" s="129"/>
      <c r="T302" s="13"/>
    </row>
    <row r="303" spans="1:20" ht="12.75" customHeight="1" x14ac:dyDescent="0.2">
      <c r="A303" s="134"/>
      <c r="B303" s="145"/>
      <c r="C303" s="145"/>
      <c r="D303" s="145"/>
      <c r="E303" s="13"/>
      <c r="F303" s="13"/>
      <c r="G303" s="144"/>
      <c r="H303" s="13"/>
      <c r="I303" s="13"/>
      <c r="J303" s="13"/>
      <c r="K303" s="13"/>
      <c r="L303" s="13"/>
      <c r="M303" s="13"/>
      <c r="N303" s="146"/>
      <c r="O303" s="13"/>
      <c r="P303" s="146"/>
      <c r="R303" s="129"/>
      <c r="T303" s="13"/>
    </row>
    <row r="304" spans="1:20" ht="12.75" customHeight="1" x14ac:dyDescent="0.2">
      <c r="A304" s="134"/>
      <c r="B304" s="145"/>
      <c r="C304" s="145"/>
      <c r="D304" s="145"/>
      <c r="E304" s="13"/>
      <c r="F304" s="13"/>
      <c r="G304" s="144"/>
      <c r="H304" s="13"/>
      <c r="I304" s="13"/>
      <c r="J304" s="13"/>
      <c r="K304" s="13"/>
      <c r="L304" s="13"/>
      <c r="M304" s="13"/>
      <c r="N304" s="146"/>
      <c r="O304" s="13"/>
      <c r="P304" s="146"/>
      <c r="R304" s="129"/>
      <c r="T304" s="13"/>
    </row>
    <row r="305" spans="1:20" ht="12.75" customHeight="1" x14ac:dyDescent="0.2">
      <c r="A305" s="134"/>
      <c r="B305" s="145"/>
      <c r="C305" s="145"/>
      <c r="D305" s="145"/>
      <c r="E305" s="13"/>
      <c r="F305" s="13"/>
      <c r="G305" s="144"/>
      <c r="H305" s="13"/>
      <c r="I305" s="13"/>
      <c r="J305" s="13"/>
      <c r="K305" s="13"/>
      <c r="L305" s="13"/>
      <c r="M305" s="13"/>
      <c r="N305" s="146"/>
      <c r="O305" s="13"/>
      <c r="P305" s="146"/>
      <c r="R305" s="129"/>
      <c r="T305" s="13"/>
    </row>
    <row r="306" spans="1:20" ht="12.75" customHeight="1" x14ac:dyDescent="0.2">
      <c r="A306" s="134"/>
      <c r="B306" s="145"/>
      <c r="C306" s="145"/>
      <c r="D306" s="145"/>
      <c r="E306" s="13"/>
      <c r="F306" s="13"/>
      <c r="G306" s="144"/>
      <c r="H306" s="13"/>
      <c r="I306" s="13"/>
      <c r="J306" s="13"/>
      <c r="K306" s="13"/>
      <c r="L306" s="13"/>
      <c r="M306" s="13"/>
      <c r="N306" s="146"/>
      <c r="O306" s="13"/>
      <c r="P306" s="146"/>
      <c r="R306" s="129"/>
      <c r="T306" s="13"/>
    </row>
    <row r="307" spans="1:20" ht="12.75" customHeight="1" x14ac:dyDescent="0.2">
      <c r="A307" s="134"/>
      <c r="B307" s="145"/>
      <c r="C307" s="145"/>
      <c r="D307" s="145"/>
      <c r="E307" s="13"/>
      <c r="F307" s="13"/>
      <c r="G307" s="144"/>
      <c r="H307" s="13"/>
      <c r="I307" s="13"/>
      <c r="J307" s="13"/>
      <c r="K307" s="13"/>
      <c r="L307" s="13"/>
      <c r="M307" s="13"/>
      <c r="N307" s="146"/>
      <c r="O307" s="13"/>
      <c r="P307" s="146"/>
      <c r="R307" s="129"/>
      <c r="T307" s="13"/>
    </row>
    <row r="308" spans="1:20" ht="12.75" customHeight="1" x14ac:dyDescent="0.2">
      <c r="A308" s="134"/>
      <c r="B308" s="145"/>
      <c r="C308" s="145"/>
      <c r="D308" s="145"/>
      <c r="E308" s="13"/>
      <c r="F308" s="13"/>
      <c r="G308" s="144"/>
      <c r="H308" s="13"/>
      <c r="I308" s="13"/>
      <c r="J308" s="13"/>
      <c r="K308" s="13"/>
      <c r="L308" s="13"/>
      <c r="M308" s="13"/>
      <c r="N308" s="146"/>
      <c r="O308" s="13"/>
      <c r="P308" s="146"/>
      <c r="R308" s="129"/>
      <c r="T308" s="13"/>
    </row>
    <row r="309" spans="1:20" ht="12.75" customHeight="1" x14ac:dyDescent="0.2">
      <c r="A309" s="134"/>
      <c r="B309" s="145"/>
      <c r="C309" s="145"/>
      <c r="D309" s="145"/>
      <c r="E309" s="13"/>
      <c r="F309" s="13"/>
      <c r="G309" s="144"/>
      <c r="H309" s="13"/>
      <c r="I309" s="13"/>
      <c r="J309" s="13"/>
      <c r="K309" s="13"/>
      <c r="L309" s="13"/>
      <c r="M309" s="13"/>
      <c r="N309" s="146"/>
      <c r="O309" s="13"/>
      <c r="P309" s="146"/>
      <c r="R309" s="129"/>
      <c r="T309" s="13"/>
    </row>
    <row r="310" spans="1:20" ht="12.75" customHeight="1" x14ac:dyDescent="0.2">
      <c r="A310" s="134"/>
      <c r="B310" s="145"/>
      <c r="C310" s="145"/>
      <c r="D310" s="145"/>
      <c r="E310" s="13"/>
      <c r="F310" s="13"/>
      <c r="G310" s="144"/>
      <c r="H310" s="13"/>
      <c r="I310" s="13"/>
      <c r="J310" s="13"/>
      <c r="K310" s="13"/>
      <c r="L310" s="13"/>
      <c r="M310" s="13"/>
      <c r="N310" s="146"/>
      <c r="O310" s="13"/>
      <c r="P310" s="146"/>
      <c r="R310" s="129"/>
      <c r="T310" s="13"/>
    </row>
    <row r="311" spans="1:20" ht="12.75" customHeight="1" x14ac:dyDescent="0.2">
      <c r="A311" s="134"/>
      <c r="B311" s="145"/>
      <c r="C311" s="145"/>
      <c r="D311" s="145"/>
      <c r="E311" s="13"/>
      <c r="F311" s="13"/>
      <c r="G311" s="144"/>
      <c r="H311" s="13"/>
      <c r="I311" s="13"/>
      <c r="J311" s="13"/>
      <c r="K311" s="13"/>
      <c r="L311" s="13"/>
      <c r="M311" s="13"/>
      <c r="N311" s="146"/>
      <c r="O311" s="13"/>
      <c r="P311" s="146"/>
      <c r="R311" s="129"/>
      <c r="T311" s="13"/>
    </row>
    <row r="312" spans="1:20" ht="12.75" customHeight="1" x14ac:dyDescent="0.2">
      <c r="A312" s="134"/>
      <c r="B312" s="145"/>
      <c r="C312" s="145"/>
      <c r="D312" s="145"/>
      <c r="E312" s="13"/>
      <c r="F312" s="13"/>
      <c r="G312" s="144"/>
      <c r="H312" s="13"/>
      <c r="I312" s="13"/>
      <c r="J312" s="13"/>
      <c r="K312" s="13"/>
      <c r="L312" s="13"/>
      <c r="M312" s="13"/>
      <c r="N312" s="146"/>
      <c r="O312" s="13"/>
      <c r="P312" s="146"/>
      <c r="R312" s="129"/>
      <c r="T312" s="13"/>
    </row>
    <row r="313" spans="1:20" ht="12.75" customHeight="1" x14ac:dyDescent="0.2">
      <c r="A313" s="134"/>
      <c r="B313" s="145"/>
      <c r="C313" s="145"/>
      <c r="D313" s="145"/>
      <c r="E313" s="13"/>
      <c r="F313" s="13"/>
      <c r="G313" s="144"/>
      <c r="H313" s="13"/>
      <c r="I313" s="13"/>
      <c r="J313" s="13"/>
      <c r="K313" s="13"/>
      <c r="L313" s="13"/>
      <c r="M313" s="13"/>
      <c r="N313" s="146"/>
      <c r="O313" s="13"/>
      <c r="P313" s="146"/>
      <c r="R313" s="129"/>
      <c r="T313" s="13"/>
    </row>
    <row r="314" spans="1:20" ht="12.75" customHeight="1" x14ac:dyDescent="0.2">
      <c r="A314" s="134"/>
      <c r="B314" s="145"/>
      <c r="C314" s="145"/>
      <c r="D314" s="145"/>
      <c r="E314" s="13"/>
      <c r="F314" s="13"/>
      <c r="G314" s="144"/>
      <c r="H314" s="13"/>
      <c r="I314" s="13"/>
      <c r="J314" s="13"/>
      <c r="K314" s="13"/>
      <c r="L314" s="13"/>
      <c r="M314" s="13"/>
      <c r="N314" s="146"/>
      <c r="O314" s="13"/>
      <c r="P314" s="146"/>
      <c r="R314" s="129"/>
      <c r="T314" s="13"/>
    </row>
    <row r="315" spans="1:20" ht="12.75" customHeight="1" x14ac:dyDescent="0.2">
      <c r="A315" s="134"/>
      <c r="B315" s="145"/>
      <c r="C315" s="145"/>
      <c r="D315" s="145"/>
      <c r="E315" s="13"/>
      <c r="F315" s="13"/>
      <c r="G315" s="144"/>
      <c r="H315" s="13"/>
      <c r="I315" s="13"/>
      <c r="J315" s="13"/>
      <c r="K315" s="13"/>
      <c r="L315" s="13"/>
      <c r="M315" s="13"/>
      <c r="N315" s="146"/>
      <c r="O315" s="13"/>
      <c r="P315" s="146"/>
      <c r="R315" s="129"/>
      <c r="T315" s="13"/>
    </row>
    <row r="316" spans="1:20" ht="12.75" customHeight="1" x14ac:dyDescent="0.2">
      <c r="A316" s="134"/>
      <c r="B316" s="145"/>
      <c r="C316" s="145"/>
      <c r="D316" s="145"/>
      <c r="E316" s="13"/>
      <c r="F316" s="13"/>
      <c r="G316" s="144"/>
      <c r="H316" s="13"/>
      <c r="I316" s="13"/>
      <c r="J316" s="13"/>
      <c r="K316" s="13"/>
      <c r="L316" s="13"/>
      <c r="M316" s="13"/>
      <c r="N316" s="146"/>
      <c r="O316" s="13"/>
      <c r="P316" s="146"/>
      <c r="R316" s="129"/>
      <c r="T316" s="13"/>
    </row>
    <row r="317" spans="1:20" ht="12.75" customHeight="1" x14ac:dyDescent="0.2">
      <c r="A317" s="134"/>
      <c r="B317" s="145"/>
      <c r="C317" s="145"/>
      <c r="D317" s="145"/>
      <c r="E317" s="13"/>
      <c r="F317" s="13"/>
      <c r="G317" s="144"/>
      <c r="H317" s="13"/>
      <c r="I317" s="13"/>
      <c r="J317" s="13"/>
      <c r="K317" s="13"/>
      <c r="L317" s="13"/>
      <c r="M317" s="13"/>
      <c r="N317" s="146"/>
      <c r="O317" s="13"/>
      <c r="P317" s="146"/>
      <c r="R317" s="129"/>
      <c r="T317" s="13"/>
    </row>
    <row r="318" spans="1:20" ht="12.75" customHeight="1" x14ac:dyDescent="0.2">
      <c r="A318" s="134"/>
      <c r="B318" s="145"/>
      <c r="C318" s="145"/>
      <c r="D318" s="145"/>
      <c r="E318" s="13"/>
      <c r="F318" s="13"/>
      <c r="G318" s="144"/>
      <c r="H318" s="13"/>
      <c r="I318" s="13"/>
      <c r="J318" s="13"/>
      <c r="K318" s="13"/>
      <c r="L318" s="13"/>
      <c r="M318" s="13"/>
      <c r="N318" s="146"/>
      <c r="O318" s="13"/>
      <c r="P318" s="146"/>
      <c r="R318" s="129"/>
      <c r="T318" s="13"/>
    </row>
    <row r="319" spans="1:20" ht="12.75" customHeight="1" x14ac:dyDescent="0.2">
      <c r="A319" s="134"/>
      <c r="B319" s="145"/>
      <c r="C319" s="145"/>
      <c r="D319" s="145"/>
      <c r="E319" s="13"/>
      <c r="F319" s="13"/>
      <c r="G319" s="144"/>
      <c r="H319" s="13"/>
      <c r="I319" s="13"/>
      <c r="J319" s="13"/>
      <c r="K319" s="13"/>
      <c r="L319" s="13"/>
      <c r="M319" s="13"/>
      <c r="N319" s="146"/>
      <c r="O319" s="13"/>
      <c r="P319" s="146"/>
      <c r="R319" s="129"/>
      <c r="T319" s="13"/>
    </row>
    <row r="320" spans="1:20" ht="12.75" customHeight="1" x14ac:dyDescent="0.2">
      <c r="A320" s="134"/>
      <c r="B320" s="145"/>
      <c r="C320" s="145"/>
      <c r="D320" s="145"/>
      <c r="E320" s="13"/>
      <c r="F320" s="13"/>
      <c r="G320" s="144"/>
      <c r="H320" s="13"/>
      <c r="I320" s="13"/>
      <c r="J320" s="13"/>
      <c r="K320" s="13"/>
      <c r="L320" s="13"/>
      <c r="M320" s="13"/>
      <c r="N320" s="146"/>
      <c r="O320" s="13"/>
      <c r="P320" s="146"/>
      <c r="R320" s="129"/>
      <c r="T320" s="13"/>
    </row>
    <row r="321" spans="1:20" ht="12.75" customHeight="1" x14ac:dyDescent="0.2">
      <c r="A321" s="134"/>
      <c r="B321" s="145"/>
      <c r="C321" s="145"/>
      <c r="D321" s="145"/>
      <c r="E321" s="13"/>
      <c r="F321" s="13"/>
      <c r="G321" s="144"/>
      <c r="H321" s="13"/>
      <c r="I321" s="13"/>
      <c r="J321" s="13"/>
      <c r="K321" s="13"/>
      <c r="L321" s="13"/>
      <c r="M321" s="13"/>
      <c r="N321" s="146"/>
      <c r="O321" s="13"/>
      <c r="P321" s="146"/>
      <c r="R321" s="129"/>
      <c r="T321" s="13"/>
    </row>
    <row r="322" spans="1:20" ht="12.75" customHeight="1" x14ac:dyDescent="0.2">
      <c r="A322" s="134"/>
      <c r="B322" s="145"/>
      <c r="C322" s="145"/>
      <c r="D322" s="145"/>
      <c r="E322" s="13"/>
      <c r="F322" s="13"/>
      <c r="G322" s="144"/>
      <c r="H322" s="13"/>
      <c r="I322" s="13"/>
      <c r="J322" s="13"/>
      <c r="K322" s="13"/>
      <c r="L322" s="13"/>
      <c r="M322" s="13"/>
      <c r="N322" s="146"/>
      <c r="O322" s="13"/>
      <c r="P322" s="146"/>
      <c r="R322" s="129"/>
      <c r="T322" s="13"/>
    </row>
    <row r="323" spans="1:20" ht="12.75" customHeight="1" x14ac:dyDescent="0.2">
      <c r="A323" s="134"/>
      <c r="B323" s="145"/>
      <c r="C323" s="145"/>
      <c r="D323" s="145"/>
      <c r="E323" s="13"/>
      <c r="F323" s="13"/>
      <c r="G323" s="144"/>
      <c r="H323" s="13"/>
      <c r="I323" s="13"/>
      <c r="J323" s="13"/>
      <c r="K323" s="13"/>
      <c r="L323" s="13"/>
      <c r="M323" s="13"/>
      <c r="N323" s="146"/>
      <c r="O323" s="13"/>
      <c r="P323" s="146"/>
      <c r="R323" s="129"/>
      <c r="T323" s="13"/>
    </row>
    <row r="324" spans="1:20" ht="12.75" customHeight="1" x14ac:dyDescent="0.2">
      <c r="A324" s="134"/>
      <c r="B324" s="145"/>
      <c r="C324" s="145"/>
      <c r="D324" s="145"/>
      <c r="E324" s="13"/>
      <c r="F324" s="13"/>
      <c r="G324" s="144"/>
      <c r="H324" s="13"/>
      <c r="I324" s="13"/>
      <c r="J324" s="13"/>
      <c r="K324" s="13"/>
      <c r="L324" s="13"/>
      <c r="M324" s="13"/>
      <c r="N324" s="146"/>
      <c r="O324" s="13"/>
      <c r="P324" s="146"/>
      <c r="R324" s="129"/>
      <c r="T324" s="13"/>
    </row>
    <row r="325" spans="1:20" ht="12.75" customHeight="1" x14ac:dyDescent="0.2">
      <c r="A325" s="134"/>
      <c r="B325" s="145"/>
      <c r="C325" s="145"/>
      <c r="D325" s="145"/>
      <c r="E325" s="13"/>
      <c r="F325" s="13"/>
      <c r="G325" s="144"/>
      <c r="H325" s="13"/>
      <c r="I325" s="13"/>
      <c r="J325" s="13"/>
      <c r="K325" s="13"/>
      <c r="L325" s="13"/>
      <c r="M325" s="13"/>
      <c r="N325" s="146"/>
      <c r="O325" s="13"/>
      <c r="P325" s="146"/>
      <c r="R325" s="129"/>
      <c r="T325" s="13"/>
    </row>
    <row r="326" spans="1:20" ht="12.75" customHeight="1" x14ac:dyDescent="0.2">
      <c r="A326" s="134"/>
      <c r="B326" s="145"/>
      <c r="C326" s="145"/>
      <c r="D326" s="145"/>
      <c r="E326" s="13"/>
      <c r="F326" s="13"/>
      <c r="G326" s="144"/>
      <c r="H326" s="13"/>
      <c r="I326" s="13"/>
      <c r="J326" s="13"/>
      <c r="K326" s="13"/>
      <c r="L326" s="13"/>
      <c r="M326" s="13"/>
      <c r="N326" s="146"/>
      <c r="O326" s="13"/>
      <c r="P326" s="146"/>
      <c r="R326" s="129"/>
      <c r="T326" s="13"/>
    </row>
    <row r="327" spans="1:20" ht="12.75" customHeight="1" x14ac:dyDescent="0.2">
      <c r="A327" s="134"/>
      <c r="B327" s="145"/>
      <c r="C327" s="145"/>
      <c r="D327" s="145"/>
      <c r="E327" s="13"/>
      <c r="F327" s="13"/>
      <c r="G327" s="144"/>
      <c r="H327" s="13"/>
      <c r="I327" s="13"/>
      <c r="J327" s="13"/>
      <c r="K327" s="13"/>
      <c r="L327" s="13"/>
      <c r="M327" s="13"/>
      <c r="N327" s="146"/>
      <c r="O327" s="13"/>
      <c r="P327" s="146"/>
      <c r="R327" s="129"/>
      <c r="T327" s="13"/>
    </row>
    <row r="328" spans="1:20" ht="12.75" customHeight="1" x14ac:dyDescent="0.2">
      <c r="A328" s="134"/>
      <c r="B328" s="145"/>
      <c r="C328" s="145"/>
      <c r="D328" s="145"/>
      <c r="E328" s="13"/>
      <c r="F328" s="13"/>
      <c r="G328" s="144"/>
      <c r="H328" s="13"/>
      <c r="I328" s="13"/>
      <c r="J328" s="13"/>
      <c r="K328" s="13"/>
      <c r="L328" s="13"/>
      <c r="M328" s="13"/>
      <c r="N328" s="146"/>
      <c r="O328" s="13"/>
      <c r="P328" s="146"/>
      <c r="R328" s="129"/>
      <c r="T328" s="13"/>
    </row>
    <row r="329" spans="1:20" ht="12.75" customHeight="1" x14ac:dyDescent="0.2">
      <c r="A329" s="134"/>
      <c r="B329" s="145"/>
      <c r="C329" s="145"/>
      <c r="D329" s="145"/>
      <c r="E329" s="13"/>
      <c r="F329" s="13"/>
      <c r="G329" s="144"/>
      <c r="H329" s="13"/>
      <c r="I329" s="13"/>
      <c r="J329" s="13"/>
      <c r="K329" s="13"/>
      <c r="L329" s="13"/>
      <c r="M329" s="13"/>
      <c r="N329" s="146"/>
      <c r="O329" s="13"/>
      <c r="P329" s="146"/>
      <c r="R329" s="129"/>
      <c r="T329" s="13"/>
    </row>
    <row r="330" spans="1:20" ht="12.75" customHeight="1" x14ac:dyDescent="0.2">
      <c r="A330" s="134"/>
      <c r="B330" s="145"/>
      <c r="C330" s="145"/>
      <c r="D330" s="145"/>
      <c r="E330" s="13"/>
      <c r="F330" s="13"/>
      <c r="G330" s="144"/>
      <c r="H330" s="13"/>
      <c r="I330" s="13"/>
      <c r="J330" s="13"/>
      <c r="K330" s="13"/>
      <c r="L330" s="13"/>
      <c r="M330" s="13"/>
      <c r="N330" s="146"/>
      <c r="O330" s="13"/>
      <c r="P330" s="146"/>
      <c r="R330" s="129"/>
      <c r="T330" s="13"/>
    </row>
    <row r="331" spans="1:20" ht="12.75" customHeight="1" x14ac:dyDescent="0.2">
      <c r="A331" s="134"/>
      <c r="B331" s="145"/>
      <c r="C331" s="145"/>
      <c r="D331" s="145"/>
      <c r="E331" s="13"/>
      <c r="F331" s="13"/>
      <c r="G331" s="144"/>
      <c r="H331" s="13"/>
      <c r="I331" s="13"/>
      <c r="J331" s="13"/>
      <c r="K331" s="13"/>
      <c r="L331" s="13"/>
      <c r="M331" s="13"/>
      <c r="N331" s="146"/>
      <c r="O331" s="13"/>
      <c r="P331" s="146"/>
      <c r="R331" s="129"/>
      <c r="T331" s="13"/>
    </row>
    <row r="332" spans="1:20" ht="12.75" customHeight="1" x14ac:dyDescent="0.2">
      <c r="A332" s="134"/>
      <c r="B332" s="145"/>
      <c r="C332" s="145"/>
      <c r="D332" s="145"/>
      <c r="E332" s="13"/>
      <c r="F332" s="13"/>
      <c r="G332" s="144"/>
      <c r="H332" s="13"/>
      <c r="I332" s="13"/>
      <c r="J332" s="13"/>
      <c r="K332" s="13"/>
      <c r="L332" s="13"/>
      <c r="M332" s="13"/>
      <c r="N332" s="146"/>
      <c r="O332" s="13"/>
      <c r="P332" s="146"/>
      <c r="R332" s="129"/>
      <c r="T332" s="13"/>
    </row>
    <row r="333" spans="1:20" ht="12.75" customHeight="1" x14ac:dyDescent="0.2">
      <c r="A333" s="134"/>
      <c r="B333" s="145"/>
      <c r="C333" s="145"/>
      <c r="D333" s="145"/>
      <c r="E333" s="13"/>
      <c r="F333" s="13"/>
      <c r="G333" s="144"/>
      <c r="H333" s="13"/>
      <c r="I333" s="13"/>
      <c r="J333" s="13"/>
      <c r="K333" s="13"/>
      <c r="L333" s="13"/>
      <c r="M333" s="13"/>
      <c r="N333" s="146"/>
      <c r="O333" s="13"/>
      <c r="P333" s="146"/>
      <c r="R333" s="129"/>
      <c r="T333" s="13"/>
    </row>
    <row r="334" spans="1:20" ht="12.75" customHeight="1" x14ac:dyDescent="0.2">
      <c r="A334" s="134"/>
      <c r="B334" s="145"/>
      <c r="C334" s="145"/>
      <c r="D334" s="145"/>
      <c r="E334" s="13"/>
      <c r="F334" s="13"/>
      <c r="G334" s="144"/>
      <c r="H334" s="13"/>
      <c r="I334" s="13"/>
      <c r="J334" s="13"/>
      <c r="K334" s="13"/>
      <c r="L334" s="13"/>
      <c r="M334" s="13"/>
      <c r="N334" s="146"/>
      <c r="O334" s="13"/>
      <c r="P334" s="146"/>
      <c r="R334" s="129"/>
      <c r="T334" s="13"/>
    </row>
    <row r="335" spans="1:20" ht="12.75" customHeight="1" x14ac:dyDescent="0.2">
      <c r="A335" s="134"/>
      <c r="B335" s="145"/>
      <c r="C335" s="145"/>
      <c r="D335" s="145"/>
      <c r="E335" s="13"/>
      <c r="F335" s="13"/>
      <c r="G335" s="144"/>
      <c r="H335" s="13"/>
      <c r="I335" s="13"/>
      <c r="J335" s="13"/>
      <c r="K335" s="13"/>
      <c r="L335" s="13"/>
      <c r="M335" s="13"/>
      <c r="N335" s="146"/>
      <c r="O335" s="13"/>
      <c r="P335" s="146"/>
      <c r="R335" s="129"/>
      <c r="T335" s="13"/>
    </row>
    <row r="336" spans="1:20" ht="12.75" customHeight="1" x14ac:dyDescent="0.2">
      <c r="A336" s="134"/>
      <c r="B336" s="145"/>
      <c r="C336" s="145"/>
      <c r="D336" s="145"/>
      <c r="E336" s="13"/>
      <c r="F336" s="13"/>
      <c r="G336" s="144"/>
      <c r="H336" s="13"/>
      <c r="I336" s="13"/>
      <c r="J336" s="13"/>
      <c r="K336" s="13"/>
      <c r="L336" s="13"/>
      <c r="M336" s="13"/>
      <c r="N336" s="146"/>
      <c r="O336" s="13"/>
      <c r="P336" s="146"/>
      <c r="R336" s="129"/>
      <c r="T336" s="13"/>
    </row>
    <row r="337" spans="1:20" ht="12.75" customHeight="1" x14ac:dyDescent="0.2">
      <c r="A337" s="134"/>
      <c r="B337" s="145"/>
      <c r="C337" s="145"/>
      <c r="D337" s="145"/>
      <c r="E337" s="13"/>
      <c r="F337" s="13"/>
      <c r="G337" s="144"/>
      <c r="H337" s="13"/>
      <c r="I337" s="13"/>
      <c r="J337" s="13"/>
      <c r="K337" s="13"/>
      <c r="L337" s="13"/>
      <c r="M337" s="13"/>
      <c r="N337" s="146"/>
      <c r="O337" s="13"/>
      <c r="P337" s="146"/>
      <c r="R337" s="129"/>
      <c r="T337" s="13"/>
    </row>
    <row r="338" spans="1:20" ht="12.75" customHeight="1" x14ac:dyDescent="0.2">
      <c r="A338" s="134"/>
      <c r="B338" s="145"/>
      <c r="C338" s="145"/>
      <c r="D338" s="145"/>
      <c r="E338" s="13"/>
      <c r="F338" s="13"/>
      <c r="G338" s="144"/>
      <c r="H338" s="13"/>
      <c r="I338" s="13"/>
      <c r="J338" s="13"/>
      <c r="K338" s="13"/>
      <c r="L338" s="13"/>
      <c r="M338" s="13"/>
      <c r="N338" s="146"/>
      <c r="O338" s="13"/>
      <c r="P338" s="146"/>
      <c r="R338" s="129"/>
      <c r="T338" s="13"/>
    </row>
    <row r="339" spans="1:20" ht="12.75" customHeight="1" x14ac:dyDescent="0.2">
      <c r="A339" s="134"/>
      <c r="B339" s="145"/>
      <c r="C339" s="145"/>
      <c r="D339" s="145"/>
      <c r="E339" s="13"/>
      <c r="F339" s="13"/>
      <c r="G339" s="144"/>
      <c r="H339" s="13"/>
      <c r="I339" s="13"/>
      <c r="J339" s="13"/>
      <c r="K339" s="13"/>
      <c r="L339" s="13"/>
      <c r="M339" s="13"/>
      <c r="N339" s="146"/>
      <c r="O339" s="13"/>
      <c r="P339" s="146"/>
      <c r="R339" s="129"/>
      <c r="T339" s="13"/>
    </row>
    <row r="340" spans="1:20" ht="12.75" customHeight="1" x14ac:dyDescent="0.2">
      <c r="A340" s="134"/>
      <c r="B340" s="145"/>
      <c r="C340" s="145"/>
      <c r="D340" s="145"/>
      <c r="E340" s="13"/>
      <c r="F340" s="13"/>
      <c r="G340" s="144"/>
      <c r="H340" s="13"/>
      <c r="I340" s="13"/>
      <c r="J340" s="13"/>
      <c r="K340" s="13"/>
      <c r="L340" s="13"/>
      <c r="M340" s="13"/>
      <c r="N340" s="146"/>
      <c r="O340" s="13"/>
      <c r="P340" s="146"/>
      <c r="R340" s="129"/>
      <c r="T340" s="13"/>
    </row>
    <row r="341" spans="1:20" ht="12.75" customHeight="1" x14ac:dyDescent="0.2">
      <c r="A341" s="134"/>
      <c r="B341" s="145"/>
      <c r="C341" s="145"/>
      <c r="D341" s="145"/>
      <c r="E341" s="13"/>
      <c r="F341" s="13"/>
      <c r="G341" s="144"/>
      <c r="H341" s="13"/>
      <c r="I341" s="13"/>
      <c r="J341" s="13"/>
      <c r="K341" s="13"/>
      <c r="L341" s="13"/>
      <c r="M341" s="13"/>
      <c r="N341" s="146"/>
      <c r="O341" s="13"/>
      <c r="P341" s="146"/>
      <c r="R341" s="129"/>
      <c r="T341" s="13"/>
    </row>
    <row r="342" spans="1:20" ht="12.75" customHeight="1" x14ac:dyDescent="0.2">
      <c r="A342" s="134"/>
      <c r="B342" s="145"/>
      <c r="C342" s="145"/>
      <c r="D342" s="145"/>
      <c r="E342" s="13"/>
      <c r="F342" s="13"/>
      <c r="G342" s="144"/>
      <c r="H342" s="13"/>
      <c r="I342" s="13"/>
      <c r="J342" s="13"/>
      <c r="K342" s="13"/>
      <c r="L342" s="13"/>
      <c r="M342" s="13"/>
      <c r="N342" s="146"/>
      <c r="O342" s="13"/>
      <c r="P342" s="146"/>
      <c r="R342" s="129"/>
      <c r="T342" s="13"/>
    </row>
    <row r="343" spans="1:20" ht="12.75" customHeight="1" x14ac:dyDescent="0.2">
      <c r="A343" s="134"/>
      <c r="B343" s="145"/>
      <c r="C343" s="145"/>
      <c r="D343" s="145"/>
      <c r="E343" s="13"/>
      <c r="F343" s="13"/>
      <c r="G343" s="144"/>
      <c r="H343" s="13"/>
      <c r="I343" s="13"/>
      <c r="J343" s="13"/>
      <c r="K343" s="13"/>
      <c r="L343" s="13"/>
      <c r="M343" s="13"/>
      <c r="N343" s="146"/>
      <c r="O343" s="13"/>
      <c r="P343" s="146"/>
      <c r="R343" s="129"/>
      <c r="T343" s="13"/>
    </row>
    <row r="344" spans="1:20" ht="12.75" customHeight="1" x14ac:dyDescent="0.2">
      <c r="A344" s="134"/>
      <c r="B344" s="145"/>
      <c r="C344" s="145"/>
      <c r="D344" s="145"/>
      <c r="E344" s="13"/>
      <c r="F344" s="13"/>
      <c r="G344" s="144"/>
      <c r="H344" s="13"/>
      <c r="I344" s="13"/>
      <c r="J344" s="13"/>
      <c r="K344" s="13"/>
      <c r="L344" s="13"/>
      <c r="M344" s="13"/>
      <c r="N344" s="146"/>
      <c r="O344" s="13"/>
      <c r="P344" s="146"/>
      <c r="R344" s="129"/>
      <c r="T344" s="13"/>
    </row>
    <row r="345" spans="1:20" ht="12.75" customHeight="1" x14ac:dyDescent="0.2">
      <c r="A345" s="134"/>
      <c r="B345" s="145"/>
      <c r="C345" s="145"/>
      <c r="D345" s="145"/>
      <c r="E345" s="13"/>
      <c r="F345" s="13"/>
      <c r="G345" s="144"/>
      <c r="H345" s="13"/>
      <c r="I345" s="13"/>
      <c r="J345" s="13"/>
      <c r="K345" s="13"/>
      <c r="L345" s="13"/>
      <c r="M345" s="13"/>
      <c r="N345" s="146"/>
      <c r="O345" s="13"/>
      <c r="P345" s="146"/>
      <c r="R345" s="129"/>
      <c r="T345" s="13"/>
    </row>
    <row r="346" spans="1:20" ht="12.75" customHeight="1" x14ac:dyDescent="0.2">
      <c r="A346" s="134"/>
      <c r="B346" s="145"/>
      <c r="C346" s="145"/>
      <c r="D346" s="145"/>
      <c r="E346" s="13"/>
      <c r="F346" s="13"/>
      <c r="G346" s="144"/>
      <c r="H346" s="13"/>
      <c r="I346" s="13"/>
      <c r="J346" s="13"/>
      <c r="K346" s="13"/>
      <c r="L346" s="13"/>
      <c r="M346" s="13"/>
      <c r="N346" s="146"/>
      <c r="O346" s="13"/>
      <c r="P346" s="146"/>
      <c r="R346" s="129"/>
      <c r="T346" s="13"/>
    </row>
    <row r="347" spans="1:20" ht="12.75" customHeight="1" x14ac:dyDescent="0.2">
      <c r="A347" s="134"/>
      <c r="B347" s="145"/>
      <c r="C347" s="145"/>
      <c r="D347" s="145"/>
      <c r="E347" s="13"/>
      <c r="F347" s="13"/>
      <c r="G347" s="144"/>
      <c r="H347" s="13"/>
      <c r="I347" s="13"/>
      <c r="J347" s="13"/>
      <c r="K347" s="13"/>
      <c r="L347" s="13"/>
      <c r="M347" s="13"/>
      <c r="N347" s="146"/>
      <c r="O347" s="13"/>
      <c r="P347" s="146"/>
      <c r="R347" s="129"/>
      <c r="T347" s="13"/>
    </row>
    <row r="348" spans="1:20" ht="12.75" customHeight="1" x14ac:dyDescent="0.2">
      <c r="A348" s="134"/>
      <c r="B348" s="145"/>
      <c r="C348" s="145"/>
      <c r="D348" s="145"/>
      <c r="E348" s="13"/>
      <c r="F348" s="13"/>
      <c r="G348" s="144"/>
      <c r="H348" s="13"/>
      <c r="I348" s="13"/>
      <c r="J348" s="13"/>
      <c r="K348" s="13"/>
      <c r="L348" s="13"/>
      <c r="M348" s="13"/>
      <c r="N348" s="146"/>
      <c r="O348" s="13"/>
      <c r="P348" s="146"/>
      <c r="R348" s="129"/>
      <c r="T348" s="13"/>
    </row>
    <row r="349" spans="1:20" ht="12.75" customHeight="1" x14ac:dyDescent="0.2">
      <c r="A349" s="134"/>
      <c r="B349" s="145"/>
      <c r="C349" s="145"/>
      <c r="D349" s="145"/>
      <c r="E349" s="13"/>
      <c r="F349" s="13"/>
      <c r="G349" s="144"/>
      <c r="H349" s="13"/>
      <c r="I349" s="13"/>
      <c r="J349" s="13"/>
      <c r="K349" s="13"/>
      <c r="L349" s="13"/>
      <c r="M349" s="13"/>
      <c r="N349" s="146"/>
      <c r="O349" s="13"/>
      <c r="P349" s="146"/>
      <c r="R349" s="129"/>
      <c r="T349" s="13"/>
    </row>
    <row r="350" spans="1:20" ht="12.75" customHeight="1" x14ac:dyDescent="0.2">
      <c r="A350" s="134"/>
      <c r="B350" s="145"/>
      <c r="C350" s="145"/>
      <c r="D350" s="145"/>
      <c r="E350" s="13"/>
      <c r="F350" s="13"/>
      <c r="G350" s="144"/>
      <c r="H350" s="13"/>
      <c r="I350" s="13"/>
      <c r="J350" s="13"/>
      <c r="K350" s="13"/>
      <c r="L350" s="13"/>
      <c r="M350" s="13"/>
      <c r="N350" s="146"/>
      <c r="O350" s="13"/>
      <c r="P350" s="146"/>
      <c r="R350" s="129"/>
      <c r="T350" s="13"/>
    </row>
    <row r="351" spans="1:20" ht="12.75" customHeight="1" x14ac:dyDescent="0.2">
      <c r="A351" s="134"/>
      <c r="B351" s="145"/>
      <c r="C351" s="145"/>
      <c r="D351" s="145"/>
      <c r="E351" s="13"/>
      <c r="F351" s="13"/>
      <c r="G351" s="144"/>
      <c r="H351" s="13"/>
      <c r="I351" s="13"/>
      <c r="J351" s="13"/>
      <c r="K351" s="13"/>
      <c r="L351" s="13"/>
      <c r="M351" s="13"/>
      <c r="N351" s="146"/>
      <c r="O351" s="13"/>
      <c r="P351" s="146"/>
      <c r="R351" s="129"/>
      <c r="T351" s="13"/>
    </row>
    <row r="352" spans="1:20" ht="12.75" customHeight="1" x14ac:dyDescent="0.2">
      <c r="A352" s="134"/>
      <c r="B352" s="145"/>
      <c r="C352" s="145"/>
      <c r="D352" s="145"/>
      <c r="E352" s="13"/>
      <c r="F352" s="13"/>
      <c r="G352" s="144"/>
      <c r="H352" s="13"/>
      <c r="I352" s="13"/>
      <c r="J352" s="13"/>
      <c r="K352" s="13"/>
      <c r="L352" s="13"/>
      <c r="M352" s="13"/>
      <c r="N352" s="146"/>
      <c r="O352" s="13"/>
      <c r="P352" s="146"/>
      <c r="R352" s="129"/>
      <c r="T352" s="13"/>
    </row>
    <row r="353" spans="1:20" ht="12.75" customHeight="1" x14ac:dyDescent="0.2">
      <c r="A353" s="134"/>
      <c r="B353" s="145"/>
      <c r="C353" s="145"/>
      <c r="D353" s="145"/>
      <c r="E353" s="13"/>
      <c r="F353" s="13"/>
      <c r="G353" s="144"/>
      <c r="H353" s="13"/>
      <c r="I353" s="13"/>
      <c r="J353" s="13"/>
      <c r="K353" s="13"/>
      <c r="L353" s="13"/>
      <c r="M353" s="13"/>
      <c r="N353" s="146"/>
      <c r="O353" s="13"/>
      <c r="P353" s="146"/>
      <c r="R353" s="129"/>
      <c r="T353" s="13"/>
    </row>
    <row r="354" spans="1:20" ht="12.75" customHeight="1" x14ac:dyDescent="0.2">
      <c r="A354" s="134"/>
      <c r="B354" s="145"/>
      <c r="C354" s="145"/>
      <c r="D354" s="145"/>
      <c r="E354" s="13"/>
      <c r="F354" s="13"/>
      <c r="G354" s="144"/>
      <c r="H354" s="13"/>
      <c r="I354" s="13"/>
      <c r="J354" s="13"/>
      <c r="K354" s="13"/>
      <c r="L354" s="13"/>
      <c r="M354" s="13"/>
      <c r="N354" s="146"/>
      <c r="O354" s="13"/>
      <c r="P354" s="146"/>
      <c r="R354" s="129"/>
      <c r="T354" s="13"/>
    </row>
    <row r="355" spans="1:20" ht="12.75" customHeight="1" x14ac:dyDescent="0.2">
      <c r="A355" s="134"/>
      <c r="B355" s="145"/>
      <c r="C355" s="145"/>
      <c r="D355" s="145"/>
      <c r="E355" s="13"/>
      <c r="F355" s="13"/>
      <c r="G355" s="144"/>
      <c r="H355" s="13"/>
      <c r="I355" s="13"/>
      <c r="J355" s="13"/>
      <c r="K355" s="13"/>
      <c r="L355" s="13"/>
      <c r="M355" s="13"/>
      <c r="N355" s="146"/>
      <c r="O355" s="13"/>
      <c r="P355" s="146"/>
      <c r="R355" s="129"/>
      <c r="T355" s="13"/>
    </row>
    <row r="356" spans="1:20" ht="12.75" customHeight="1" x14ac:dyDescent="0.2">
      <c r="A356" s="134"/>
      <c r="B356" s="145"/>
      <c r="C356" s="145"/>
      <c r="D356" s="145"/>
      <c r="E356" s="13"/>
      <c r="F356" s="13"/>
      <c r="G356" s="144"/>
      <c r="H356" s="13"/>
      <c r="I356" s="13"/>
      <c r="J356" s="13"/>
      <c r="K356" s="13"/>
      <c r="L356" s="13"/>
      <c r="M356" s="13"/>
      <c r="N356" s="146"/>
      <c r="O356" s="13"/>
      <c r="P356" s="146"/>
      <c r="R356" s="129"/>
      <c r="T356" s="13"/>
    </row>
    <row r="357" spans="1:20" ht="12.75" customHeight="1" x14ac:dyDescent="0.2">
      <c r="A357" s="134"/>
      <c r="B357" s="145"/>
      <c r="C357" s="145"/>
      <c r="D357" s="145"/>
      <c r="E357" s="13"/>
      <c r="F357" s="13"/>
      <c r="G357" s="144"/>
      <c r="H357" s="13"/>
      <c r="I357" s="13"/>
      <c r="J357" s="13"/>
      <c r="K357" s="13"/>
      <c r="L357" s="13"/>
      <c r="M357" s="13"/>
      <c r="N357" s="146"/>
      <c r="O357" s="13"/>
      <c r="P357" s="146"/>
      <c r="R357" s="129"/>
      <c r="T357" s="13"/>
    </row>
    <row r="358" spans="1:20" ht="12.75" customHeight="1" x14ac:dyDescent="0.2">
      <c r="A358" s="134"/>
      <c r="B358" s="145"/>
      <c r="C358" s="145"/>
      <c r="D358" s="145"/>
      <c r="E358" s="13"/>
      <c r="F358" s="13"/>
      <c r="G358" s="144"/>
      <c r="H358" s="13"/>
      <c r="I358" s="13"/>
      <c r="J358" s="13"/>
      <c r="K358" s="13"/>
      <c r="L358" s="13"/>
      <c r="M358" s="13"/>
      <c r="N358" s="146"/>
      <c r="O358" s="13"/>
      <c r="P358" s="146"/>
      <c r="R358" s="129"/>
      <c r="T358" s="13"/>
    </row>
    <row r="359" spans="1:20" ht="12.75" customHeight="1" x14ac:dyDescent="0.2">
      <c r="A359" s="134"/>
      <c r="B359" s="145"/>
      <c r="C359" s="145"/>
      <c r="D359" s="145"/>
      <c r="E359" s="13"/>
      <c r="F359" s="13"/>
      <c r="G359" s="144"/>
      <c r="H359" s="13"/>
      <c r="I359" s="13"/>
      <c r="J359" s="13"/>
      <c r="K359" s="13"/>
      <c r="L359" s="13"/>
      <c r="M359" s="13"/>
      <c r="N359" s="146"/>
      <c r="O359" s="13"/>
      <c r="P359" s="146"/>
      <c r="R359" s="129"/>
      <c r="T359" s="13"/>
    </row>
    <row r="360" spans="1:20" ht="12.75" customHeight="1" x14ac:dyDescent="0.2">
      <c r="A360" s="134"/>
      <c r="B360" s="145"/>
      <c r="C360" s="145"/>
      <c r="D360" s="145"/>
      <c r="E360" s="13"/>
      <c r="F360" s="13"/>
      <c r="G360" s="144"/>
      <c r="H360" s="13"/>
      <c r="I360" s="13"/>
      <c r="J360" s="13"/>
      <c r="K360" s="13"/>
      <c r="L360" s="13"/>
      <c r="M360" s="13"/>
      <c r="N360" s="146"/>
      <c r="O360" s="13"/>
      <c r="P360" s="146"/>
      <c r="R360" s="129"/>
      <c r="T360" s="13"/>
    </row>
    <row r="361" spans="1:20" ht="12.75" customHeight="1" x14ac:dyDescent="0.2">
      <c r="A361" s="134"/>
      <c r="B361" s="145"/>
      <c r="C361" s="145"/>
      <c r="D361" s="145"/>
      <c r="E361" s="13"/>
      <c r="F361" s="13"/>
      <c r="G361" s="144"/>
      <c r="H361" s="13"/>
      <c r="I361" s="13"/>
      <c r="J361" s="13"/>
      <c r="K361" s="13"/>
      <c r="L361" s="13"/>
      <c r="M361" s="13"/>
      <c r="N361" s="146"/>
      <c r="O361" s="13"/>
      <c r="P361" s="146"/>
      <c r="R361" s="129"/>
      <c r="T361" s="13"/>
    </row>
    <row r="362" spans="1:20" ht="12.75" customHeight="1" x14ac:dyDescent="0.2">
      <c r="A362" s="134"/>
      <c r="B362" s="145"/>
      <c r="C362" s="145"/>
      <c r="D362" s="145"/>
      <c r="E362" s="13"/>
      <c r="F362" s="13"/>
      <c r="G362" s="144"/>
      <c r="H362" s="13"/>
      <c r="I362" s="13"/>
      <c r="J362" s="13"/>
      <c r="K362" s="13"/>
      <c r="L362" s="13"/>
      <c r="M362" s="13"/>
      <c r="N362" s="146"/>
      <c r="O362" s="13"/>
      <c r="P362" s="146"/>
      <c r="R362" s="129"/>
      <c r="T362" s="13"/>
    </row>
    <row r="363" spans="1:20" ht="12.75" customHeight="1" x14ac:dyDescent="0.2">
      <c r="A363" s="134"/>
      <c r="B363" s="145"/>
      <c r="C363" s="145"/>
      <c r="D363" s="145"/>
      <c r="E363" s="13"/>
      <c r="F363" s="13"/>
      <c r="G363" s="144"/>
      <c r="H363" s="13"/>
      <c r="I363" s="13"/>
      <c r="J363" s="13"/>
      <c r="K363" s="13"/>
      <c r="L363" s="13"/>
      <c r="M363" s="13"/>
      <c r="N363" s="146"/>
      <c r="O363" s="13"/>
      <c r="P363" s="146"/>
      <c r="R363" s="129"/>
      <c r="T363" s="13"/>
    </row>
    <row r="364" spans="1:20" ht="12.75" customHeight="1" x14ac:dyDescent="0.2">
      <c r="A364" s="134"/>
      <c r="B364" s="145"/>
      <c r="C364" s="145"/>
      <c r="D364" s="145"/>
      <c r="E364" s="13"/>
      <c r="F364" s="13"/>
      <c r="G364" s="144"/>
      <c r="H364" s="13"/>
      <c r="I364" s="13"/>
      <c r="J364" s="13"/>
      <c r="K364" s="13"/>
      <c r="L364" s="13"/>
      <c r="M364" s="13"/>
      <c r="N364" s="146"/>
      <c r="O364" s="13"/>
      <c r="P364" s="146"/>
      <c r="R364" s="129"/>
      <c r="T364" s="13"/>
    </row>
    <row r="365" spans="1:20" ht="12.75" customHeight="1" x14ac:dyDescent="0.2">
      <c r="A365" s="134"/>
      <c r="B365" s="145"/>
      <c r="C365" s="145"/>
      <c r="D365" s="145"/>
      <c r="E365" s="13"/>
      <c r="F365" s="13"/>
      <c r="G365" s="144"/>
      <c r="H365" s="13"/>
      <c r="I365" s="13"/>
      <c r="J365" s="13"/>
      <c r="K365" s="13"/>
      <c r="L365" s="13"/>
      <c r="M365" s="13"/>
      <c r="N365" s="146"/>
      <c r="O365" s="13"/>
      <c r="P365" s="146"/>
      <c r="R365" s="129"/>
      <c r="T365" s="13"/>
    </row>
    <row r="366" spans="1:20" ht="12.75" customHeight="1" x14ac:dyDescent="0.2">
      <c r="A366" s="134"/>
      <c r="B366" s="145"/>
      <c r="C366" s="145"/>
      <c r="D366" s="145"/>
      <c r="E366" s="13"/>
      <c r="F366" s="13"/>
      <c r="G366" s="144"/>
      <c r="H366" s="13"/>
      <c r="I366" s="13"/>
      <c r="J366" s="13"/>
      <c r="K366" s="13"/>
      <c r="L366" s="13"/>
      <c r="M366" s="13"/>
      <c r="N366" s="146"/>
      <c r="O366" s="13"/>
      <c r="P366" s="146"/>
      <c r="R366" s="129"/>
      <c r="T366" s="13"/>
    </row>
    <row r="367" spans="1:20" ht="12.75" customHeight="1" x14ac:dyDescent="0.2">
      <c r="A367" s="134"/>
      <c r="B367" s="145"/>
      <c r="C367" s="145"/>
      <c r="D367" s="145"/>
      <c r="E367" s="13"/>
      <c r="F367" s="13"/>
      <c r="G367" s="144"/>
      <c r="H367" s="13"/>
      <c r="I367" s="13"/>
      <c r="J367" s="13"/>
      <c r="K367" s="13"/>
      <c r="L367" s="13"/>
      <c r="M367" s="13"/>
      <c r="N367" s="146"/>
      <c r="O367" s="13"/>
      <c r="P367" s="146"/>
      <c r="R367" s="129"/>
      <c r="T367" s="13"/>
    </row>
    <row r="368" spans="1:20" ht="12.75" customHeight="1" x14ac:dyDescent="0.2">
      <c r="A368" s="134"/>
      <c r="B368" s="145"/>
      <c r="C368" s="145"/>
      <c r="D368" s="145"/>
      <c r="E368" s="13"/>
      <c r="F368" s="13"/>
      <c r="G368" s="144"/>
      <c r="H368" s="13"/>
      <c r="I368" s="13"/>
      <c r="J368" s="13"/>
      <c r="K368" s="13"/>
      <c r="L368" s="13"/>
      <c r="M368" s="13"/>
      <c r="N368" s="146"/>
      <c r="O368" s="13"/>
      <c r="P368" s="146"/>
      <c r="R368" s="129"/>
      <c r="T368" s="13"/>
    </row>
    <row r="369" spans="1:20" ht="12.75" customHeight="1" x14ac:dyDescent="0.2">
      <c r="A369" s="134"/>
      <c r="B369" s="145"/>
      <c r="C369" s="145"/>
      <c r="D369" s="145"/>
      <c r="E369" s="13"/>
      <c r="F369" s="13"/>
      <c r="G369" s="144"/>
      <c r="H369" s="13"/>
      <c r="I369" s="13"/>
      <c r="J369" s="13"/>
      <c r="K369" s="13"/>
      <c r="L369" s="13"/>
      <c r="M369" s="13"/>
      <c r="N369" s="146"/>
      <c r="O369" s="13"/>
      <c r="P369" s="146"/>
      <c r="R369" s="129"/>
      <c r="T369" s="13"/>
    </row>
    <row r="370" spans="1:20" ht="12.75" customHeight="1" x14ac:dyDescent="0.2">
      <c r="A370" s="134"/>
      <c r="B370" s="145"/>
      <c r="C370" s="145"/>
      <c r="D370" s="145"/>
      <c r="E370" s="13"/>
      <c r="F370" s="13"/>
      <c r="G370" s="144"/>
      <c r="H370" s="13"/>
      <c r="I370" s="13"/>
      <c r="J370" s="13"/>
      <c r="K370" s="13"/>
      <c r="L370" s="13"/>
      <c r="M370" s="13"/>
      <c r="N370" s="146"/>
      <c r="O370" s="13"/>
      <c r="P370" s="146"/>
      <c r="R370" s="129"/>
      <c r="T370" s="13"/>
    </row>
    <row r="371" spans="1:20" ht="12.75" customHeight="1" x14ac:dyDescent="0.2">
      <c r="A371" s="134"/>
      <c r="B371" s="145"/>
      <c r="C371" s="145"/>
      <c r="D371" s="145"/>
      <c r="E371" s="13"/>
      <c r="F371" s="13"/>
      <c r="G371" s="144"/>
      <c r="H371" s="13"/>
      <c r="I371" s="13"/>
      <c r="J371" s="13"/>
      <c r="K371" s="13"/>
      <c r="L371" s="13"/>
      <c r="M371" s="13"/>
      <c r="N371" s="146"/>
      <c r="O371" s="13"/>
      <c r="P371" s="146"/>
      <c r="R371" s="129"/>
      <c r="T371" s="13"/>
    </row>
    <row r="372" spans="1:20" ht="12.75" customHeight="1" x14ac:dyDescent="0.2">
      <c r="A372" s="134"/>
      <c r="B372" s="145"/>
      <c r="C372" s="145"/>
      <c r="D372" s="145"/>
      <c r="E372" s="13"/>
      <c r="F372" s="13"/>
      <c r="G372" s="144"/>
      <c r="H372" s="13"/>
      <c r="I372" s="13"/>
      <c r="J372" s="13"/>
      <c r="K372" s="13"/>
      <c r="L372" s="13"/>
      <c r="M372" s="13"/>
      <c r="N372" s="146"/>
      <c r="O372" s="13"/>
      <c r="P372" s="146"/>
      <c r="R372" s="129"/>
      <c r="T372" s="13"/>
    </row>
    <row r="373" spans="1:20" ht="12.75" customHeight="1" x14ac:dyDescent="0.2">
      <c r="A373" s="134"/>
      <c r="B373" s="145"/>
      <c r="C373" s="145"/>
      <c r="D373" s="145"/>
      <c r="E373" s="13"/>
      <c r="F373" s="13"/>
      <c r="G373" s="144"/>
      <c r="H373" s="13"/>
      <c r="I373" s="13"/>
      <c r="J373" s="13"/>
      <c r="K373" s="13"/>
      <c r="L373" s="13"/>
      <c r="M373" s="13"/>
      <c r="N373" s="146"/>
      <c r="O373" s="13"/>
      <c r="P373" s="146"/>
      <c r="R373" s="129"/>
      <c r="T373" s="13"/>
    </row>
    <row r="374" spans="1:20" ht="12.75" customHeight="1" x14ac:dyDescent="0.2">
      <c r="A374" s="134"/>
      <c r="B374" s="145"/>
      <c r="C374" s="145"/>
      <c r="D374" s="145"/>
      <c r="E374" s="13"/>
      <c r="F374" s="13"/>
      <c r="G374" s="144"/>
      <c r="H374" s="13"/>
      <c r="I374" s="13"/>
      <c r="J374" s="13"/>
      <c r="K374" s="13"/>
      <c r="L374" s="13"/>
      <c r="M374" s="13"/>
      <c r="N374" s="146"/>
      <c r="O374" s="13"/>
      <c r="P374" s="146"/>
      <c r="R374" s="129"/>
      <c r="T374" s="13"/>
    </row>
    <row r="375" spans="1:20" ht="12.75" customHeight="1" x14ac:dyDescent="0.2">
      <c r="A375" s="134"/>
      <c r="B375" s="145"/>
      <c r="C375" s="145"/>
      <c r="D375" s="145"/>
      <c r="E375" s="13"/>
      <c r="F375" s="13"/>
      <c r="G375" s="144"/>
      <c r="H375" s="13"/>
      <c r="I375" s="13"/>
      <c r="J375" s="13"/>
      <c r="K375" s="13"/>
      <c r="L375" s="13"/>
      <c r="M375" s="13"/>
      <c r="N375" s="146"/>
      <c r="O375" s="13"/>
      <c r="P375" s="146"/>
      <c r="R375" s="129"/>
      <c r="T375" s="13"/>
    </row>
    <row r="376" spans="1:20" ht="12.75" customHeight="1" x14ac:dyDescent="0.2">
      <c r="A376" s="134"/>
      <c r="B376" s="145"/>
      <c r="C376" s="145"/>
      <c r="D376" s="145"/>
      <c r="E376" s="13"/>
      <c r="F376" s="13"/>
      <c r="G376" s="144"/>
      <c r="H376" s="13"/>
      <c r="I376" s="13"/>
      <c r="J376" s="13"/>
      <c r="K376" s="13"/>
      <c r="L376" s="13"/>
      <c r="M376" s="13"/>
      <c r="N376" s="146"/>
      <c r="O376" s="13"/>
      <c r="P376" s="146"/>
      <c r="R376" s="129"/>
      <c r="T376" s="13"/>
    </row>
    <row r="377" spans="1:20" ht="12.75" customHeight="1" x14ac:dyDescent="0.2">
      <c r="A377" s="134"/>
      <c r="B377" s="145"/>
      <c r="C377" s="145"/>
      <c r="D377" s="145"/>
      <c r="E377" s="13"/>
      <c r="F377" s="13"/>
      <c r="G377" s="144"/>
      <c r="H377" s="13"/>
      <c r="I377" s="13"/>
      <c r="J377" s="13"/>
      <c r="K377" s="13"/>
      <c r="L377" s="13"/>
      <c r="M377" s="13"/>
      <c r="N377" s="146"/>
      <c r="O377" s="13"/>
      <c r="P377" s="146"/>
      <c r="R377" s="129"/>
      <c r="T377" s="13"/>
    </row>
    <row r="378" spans="1:20" ht="12.75" customHeight="1" x14ac:dyDescent="0.2">
      <c r="A378" s="134"/>
      <c r="B378" s="145"/>
      <c r="C378" s="145"/>
      <c r="D378" s="145"/>
      <c r="E378" s="13"/>
      <c r="F378" s="13"/>
      <c r="G378" s="144"/>
      <c r="H378" s="13"/>
      <c r="I378" s="13"/>
      <c r="J378" s="13"/>
      <c r="K378" s="13"/>
      <c r="L378" s="13"/>
      <c r="M378" s="13"/>
      <c r="N378" s="146"/>
      <c r="O378" s="13"/>
      <c r="P378" s="146"/>
      <c r="R378" s="129"/>
      <c r="T378" s="13"/>
    </row>
    <row r="379" spans="1:20" ht="12.75" customHeight="1" x14ac:dyDescent="0.2">
      <c r="A379" s="134"/>
      <c r="B379" s="145"/>
      <c r="C379" s="145"/>
      <c r="D379" s="145"/>
      <c r="E379" s="13"/>
      <c r="F379" s="13"/>
      <c r="G379" s="144"/>
      <c r="H379" s="13"/>
      <c r="I379" s="13"/>
      <c r="J379" s="13"/>
      <c r="K379" s="13"/>
      <c r="L379" s="13"/>
      <c r="M379" s="13"/>
      <c r="N379" s="146"/>
      <c r="O379" s="13"/>
      <c r="P379" s="146"/>
      <c r="R379" s="129"/>
      <c r="T379" s="13"/>
    </row>
    <row r="380" spans="1:20" ht="12.75" customHeight="1" x14ac:dyDescent="0.2">
      <c r="A380" s="134"/>
      <c r="B380" s="145"/>
      <c r="C380" s="145"/>
      <c r="D380" s="145"/>
      <c r="E380" s="13"/>
      <c r="F380" s="13"/>
      <c r="G380" s="144"/>
      <c r="H380" s="13"/>
      <c r="I380" s="13"/>
      <c r="J380" s="13"/>
      <c r="K380" s="13"/>
      <c r="L380" s="13"/>
      <c r="M380" s="13"/>
      <c r="N380" s="146"/>
      <c r="O380" s="13"/>
      <c r="P380" s="146"/>
      <c r="R380" s="129"/>
      <c r="T380" s="13"/>
    </row>
    <row r="381" spans="1:20" ht="12.75" customHeight="1" x14ac:dyDescent="0.2">
      <c r="A381" s="134"/>
      <c r="B381" s="145"/>
      <c r="C381" s="145"/>
      <c r="D381" s="145"/>
      <c r="E381" s="13"/>
      <c r="F381" s="13"/>
      <c r="G381" s="144"/>
      <c r="H381" s="13"/>
      <c r="I381" s="13"/>
      <c r="J381" s="13"/>
      <c r="K381" s="13"/>
      <c r="L381" s="13"/>
      <c r="M381" s="13"/>
      <c r="N381" s="146"/>
      <c r="O381" s="13"/>
      <c r="P381" s="146"/>
      <c r="R381" s="129"/>
      <c r="T381" s="13"/>
    </row>
    <row r="382" spans="1:20" ht="12.75" customHeight="1" x14ac:dyDescent="0.2">
      <c r="A382" s="134"/>
      <c r="B382" s="145"/>
      <c r="C382" s="145"/>
      <c r="D382" s="145"/>
      <c r="E382" s="13"/>
      <c r="F382" s="13"/>
      <c r="G382" s="144"/>
      <c r="H382" s="13"/>
      <c r="I382" s="13"/>
      <c r="J382" s="13"/>
      <c r="K382" s="13"/>
      <c r="L382" s="13"/>
      <c r="M382" s="13"/>
      <c r="N382" s="146"/>
      <c r="O382" s="13"/>
      <c r="P382" s="146"/>
      <c r="R382" s="129"/>
      <c r="T382" s="13"/>
    </row>
    <row r="383" spans="1:20" ht="12.75" customHeight="1" x14ac:dyDescent="0.2">
      <c r="A383" s="134"/>
      <c r="B383" s="145"/>
      <c r="C383" s="145"/>
      <c r="D383" s="145"/>
      <c r="E383" s="13"/>
      <c r="F383" s="13"/>
      <c r="G383" s="144"/>
      <c r="H383" s="13"/>
      <c r="I383" s="13"/>
      <c r="J383" s="13"/>
      <c r="K383" s="13"/>
      <c r="L383" s="13"/>
      <c r="M383" s="13"/>
      <c r="N383" s="146"/>
      <c r="O383" s="13"/>
      <c r="P383" s="146"/>
      <c r="R383" s="129"/>
      <c r="T383" s="13"/>
    </row>
    <row r="384" spans="1:20" ht="12.75" customHeight="1" x14ac:dyDescent="0.2">
      <c r="A384" s="134"/>
      <c r="B384" s="145"/>
      <c r="C384" s="145"/>
      <c r="D384" s="145"/>
      <c r="E384" s="13"/>
      <c r="F384" s="13"/>
      <c r="G384" s="144"/>
      <c r="H384" s="13"/>
      <c r="I384" s="13"/>
      <c r="J384" s="13"/>
      <c r="K384" s="13"/>
      <c r="L384" s="13"/>
      <c r="M384" s="13"/>
      <c r="N384" s="146"/>
      <c r="O384" s="13"/>
      <c r="P384" s="146"/>
      <c r="R384" s="129"/>
      <c r="T384" s="13"/>
    </row>
    <row r="385" spans="1:20" ht="12.75" customHeight="1" x14ac:dyDescent="0.2">
      <c r="A385" s="134"/>
      <c r="B385" s="145"/>
      <c r="C385" s="145"/>
      <c r="D385" s="145"/>
      <c r="E385" s="13"/>
      <c r="F385" s="13"/>
      <c r="G385" s="144"/>
      <c r="H385" s="13"/>
      <c r="I385" s="13"/>
      <c r="J385" s="13"/>
      <c r="K385" s="13"/>
      <c r="L385" s="13"/>
      <c r="M385" s="13"/>
      <c r="N385" s="146"/>
      <c r="O385" s="13"/>
      <c r="P385" s="146"/>
      <c r="R385" s="129"/>
      <c r="T385" s="13"/>
    </row>
    <row r="386" spans="1:20" ht="12.75" customHeight="1" x14ac:dyDescent="0.2">
      <c r="A386" s="134"/>
      <c r="B386" s="145"/>
      <c r="C386" s="145"/>
      <c r="D386" s="145"/>
      <c r="E386" s="13"/>
      <c r="F386" s="13"/>
      <c r="G386" s="144"/>
      <c r="H386" s="13"/>
      <c r="I386" s="13"/>
      <c r="J386" s="13"/>
      <c r="K386" s="13"/>
      <c r="L386" s="13"/>
      <c r="M386" s="13"/>
      <c r="N386" s="146"/>
      <c r="O386" s="13"/>
      <c r="P386" s="146"/>
      <c r="R386" s="129"/>
      <c r="T386" s="13"/>
    </row>
    <row r="387" spans="1:20" ht="12.75" customHeight="1" x14ac:dyDescent="0.2">
      <c r="A387" s="134"/>
      <c r="B387" s="145"/>
      <c r="C387" s="145"/>
      <c r="D387" s="145"/>
      <c r="E387" s="13"/>
      <c r="F387" s="13"/>
      <c r="G387" s="144"/>
      <c r="H387" s="13"/>
      <c r="I387" s="13"/>
      <c r="J387" s="13"/>
      <c r="K387" s="13"/>
      <c r="L387" s="13"/>
      <c r="M387" s="13"/>
      <c r="N387" s="146"/>
      <c r="O387" s="13"/>
      <c r="P387" s="146"/>
      <c r="R387" s="129"/>
      <c r="T387" s="13"/>
    </row>
    <row r="388" spans="1:20" ht="12.75" customHeight="1" x14ac:dyDescent="0.2">
      <c r="A388" s="134"/>
      <c r="B388" s="145"/>
      <c r="C388" s="145"/>
      <c r="D388" s="145"/>
      <c r="E388" s="13"/>
      <c r="F388" s="13"/>
      <c r="G388" s="144"/>
      <c r="H388" s="13"/>
      <c r="I388" s="13"/>
      <c r="J388" s="13"/>
      <c r="K388" s="13"/>
      <c r="L388" s="13"/>
      <c r="M388" s="13"/>
      <c r="N388" s="146"/>
      <c r="O388" s="13"/>
      <c r="P388" s="146"/>
      <c r="R388" s="129"/>
      <c r="T388" s="13"/>
    </row>
    <row r="389" spans="1:20" ht="12.75" customHeight="1" x14ac:dyDescent="0.2">
      <c r="A389" s="134"/>
      <c r="B389" s="145"/>
      <c r="C389" s="145"/>
      <c r="D389" s="145"/>
      <c r="E389" s="13"/>
      <c r="F389" s="13"/>
      <c r="G389" s="144"/>
      <c r="H389" s="13"/>
      <c r="I389" s="13"/>
      <c r="J389" s="13"/>
      <c r="K389" s="13"/>
      <c r="L389" s="13"/>
      <c r="M389" s="13"/>
      <c r="N389" s="146"/>
      <c r="O389" s="13"/>
      <c r="P389" s="146"/>
      <c r="R389" s="129"/>
      <c r="T389" s="13"/>
    </row>
    <row r="390" spans="1:20" ht="12.75" customHeight="1" x14ac:dyDescent="0.2">
      <c r="A390" s="134"/>
      <c r="B390" s="145"/>
      <c r="C390" s="145"/>
      <c r="D390" s="145"/>
      <c r="E390" s="13"/>
      <c r="F390" s="13"/>
      <c r="G390" s="144"/>
      <c r="H390" s="13"/>
      <c r="I390" s="13"/>
      <c r="J390" s="13"/>
      <c r="K390" s="13"/>
      <c r="L390" s="13"/>
      <c r="M390" s="13"/>
      <c r="N390" s="146"/>
      <c r="O390" s="13"/>
      <c r="P390" s="146"/>
      <c r="R390" s="129"/>
      <c r="T390" s="13"/>
    </row>
    <row r="391" spans="1:20" ht="12.75" customHeight="1" x14ac:dyDescent="0.2">
      <c r="A391" s="134"/>
      <c r="B391" s="145"/>
      <c r="C391" s="145"/>
      <c r="D391" s="145"/>
      <c r="E391" s="13"/>
      <c r="F391" s="13"/>
      <c r="G391" s="144"/>
      <c r="H391" s="13"/>
      <c r="I391" s="13"/>
      <c r="J391" s="13"/>
      <c r="K391" s="13"/>
      <c r="L391" s="13"/>
      <c r="M391" s="13"/>
      <c r="N391" s="146"/>
      <c r="O391" s="13"/>
      <c r="P391" s="146"/>
      <c r="R391" s="129"/>
      <c r="T391" s="13"/>
    </row>
    <row r="392" spans="1:20" ht="12.75" customHeight="1" x14ac:dyDescent="0.2">
      <c r="A392" s="134"/>
      <c r="B392" s="145"/>
      <c r="C392" s="145"/>
      <c r="D392" s="145"/>
      <c r="E392" s="13"/>
      <c r="F392" s="13"/>
      <c r="G392" s="144"/>
      <c r="H392" s="13"/>
      <c r="I392" s="13"/>
      <c r="J392" s="13"/>
      <c r="K392" s="13"/>
      <c r="L392" s="13"/>
      <c r="M392" s="13"/>
      <c r="N392" s="146"/>
      <c r="O392" s="13"/>
      <c r="P392" s="146"/>
      <c r="R392" s="129"/>
      <c r="T392" s="13"/>
    </row>
    <row r="393" spans="1:20" ht="12.75" customHeight="1" x14ac:dyDescent="0.2">
      <c r="A393" s="134"/>
      <c r="B393" s="145"/>
      <c r="C393" s="145"/>
      <c r="D393" s="145"/>
      <c r="E393" s="13"/>
      <c r="F393" s="13"/>
      <c r="G393" s="144"/>
      <c r="H393" s="13"/>
      <c r="I393" s="13"/>
      <c r="J393" s="13"/>
      <c r="K393" s="13"/>
      <c r="L393" s="13"/>
      <c r="M393" s="13"/>
      <c r="N393" s="146"/>
      <c r="O393" s="13"/>
      <c r="P393" s="146"/>
      <c r="R393" s="129"/>
      <c r="T393" s="13"/>
    </row>
    <row r="394" spans="1:20" ht="12.75" customHeight="1" x14ac:dyDescent="0.2">
      <c r="A394" s="134"/>
      <c r="B394" s="145"/>
      <c r="C394" s="145"/>
      <c r="D394" s="145"/>
      <c r="E394" s="13"/>
      <c r="F394" s="13"/>
      <c r="G394" s="144"/>
      <c r="H394" s="13"/>
      <c r="I394" s="13"/>
      <c r="J394" s="13"/>
      <c r="K394" s="13"/>
      <c r="L394" s="13"/>
      <c r="M394" s="13"/>
      <c r="N394" s="146"/>
      <c r="O394" s="13"/>
      <c r="P394" s="146"/>
      <c r="R394" s="129"/>
      <c r="T394" s="13"/>
    </row>
    <row r="395" spans="1:20" ht="12.75" customHeight="1" x14ac:dyDescent="0.2">
      <c r="A395" s="134"/>
      <c r="B395" s="145"/>
      <c r="C395" s="145"/>
      <c r="D395" s="145"/>
      <c r="E395" s="13"/>
      <c r="F395" s="13"/>
      <c r="G395" s="144"/>
      <c r="H395" s="13"/>
      <c r="I395" s="13"/>
      <c r="J395" s="13"/>
      <c r="K395" s="13"/>
      <c r="L395" s="13"/>
      <c r="M395" s="13"/>
      <c r="N395" s="146"/>
      <c r="O395" s="13"/>
      <c r="P395" s="146"/>
      <c r="R395" s="129"/>
      <c r="T395" s="13"/>
    </row>
    <row r="396" spans="1:20" ht="12.75" customHeight="1" x14ac:dyDescent="0.2">
      <c r="A396" s="134"/>
      <c r="B396" s="145"/>
      <c r="C396" s="145"/>
      <c r="D396" s="145"/>
      <c r="E396" s="13"/>
      <c r="F396" s="13"/>
      <c r="G396" s="144"/>
      <c r="H396" s="13"/>
      <c r="I396" s="13"/>
      <c r="J396" s="13"/>
      <c r="K396" s="13"/>
      <c r="L396" s="13"/>
      <c r="M396" s="13"/>
      <c r="N396" s="146"/>
      <c r="O396" s="13"/>
      <c r="P396" s="146"/>
      <c r="R396" s="129"/>
      <c r="T396" s="13"/>
    </row>
    <row r="397" spans="1:20" ht="12.75" customHeight="1" x14ac:dyDescent="0.2">
      <c r="A397" s="134"/>
      <c r="B397" s="145"/>
      <c r="C397" s="145"/>
      <c r="D397" s="145"/>
      <c r="E397" s="13"/>
      <c r="F397" s="13"/>
      <c r="G397" s="144"/>
      <c r="H397" s="13"/>
      <c r="I397" s="13"/>
      <c r="J397" s="13"/>
      <c r="K397" s="13"/>
      <c r="L397" s="13"/>
      <c r="M397" s="13"/>
      <c r="N397" s="146"/>
      <c r="O397" s="13"/>
      <c r="P397" s="146"/>
      <c r="R397" s="129"/>
      <c r="T397" s="13"/>
    </row>
    <row r="398" spans="1:20" ht="12.75" customHeight="1" x14ac:dyDescent="0.2">
      <c r="A398" s="134"/>
      <c r="B398" s="145"/>
      <c r="C398" s="145"/>
      <c r="D398" s="145"/>
      <c r="E398" s="13"/>
      <c r="F398" s="13"/>
      <c r="G398" s="144"/>
      <c r="H398" s="13"/>
      <c r="I398" s="13"/>
      <c r="J398" s="13"/>
      <c r="K398" s="13"/>
      <c r="L398" s="13"/>
      <c r="M398" s="13"/>
      <c r="N398" s="146"/>
      <c r="O398" s="13"/>
      <c r="P398" s="146"/>
      <c r="R398" s="129"/>
      <c r="T398" s="13"/>
    </row>
    <row r="399" spans="1:20" ht="12.75" customHeight="1" x14ac:dyDescent="0.2">
      <c r="A399" s="134"/>
      <c r="B399" s="145"/>
      <c r="C399" s="145"/>
      <c r="D399" s="145"/>
      <c r="E399" s="13"/>
      <c r="F399" s="13"/>
      <c r="G399" s="144"/>
      <c r="H399" s="13"/>
      <c r="I399" s="13"/>
      <c r="J399" s="13"/>
      <c r="K399" s="13"/>
      <c r="L399" s="13"/>
      <c r="M399" s="13"/>
      <c r="N399" s="146"/>
      <c r="O399" s="13"/>
      <c r="P399" s="146"/>
      <c r="R399" s="129"/>
      <c r="T399" s="13"/>
    </row>
    <row r="400" spans="1:20" ht="12.75" customHeight="1" x14ac:dyDescent="0.2">
      <c r="A400" s="134"/>
      <c r="B400" s="145"/>
      <c r="C400" s="145"/>
      <c r="D400" s="145"/>
      <c r="E400" s="13"/>
      <c r="F400" s="13"/>
      <c r="G400" s="144"/>
      <c r="H400" s="13"/>
      <c r="I400" s="13"/>
      <c r="J400" s="13"/>
      <c r="K400" s="13"/>
      <c r="L400" s="13"/>
      <c r="M400" s="13"/>
      <c r="N400" s="146"/>
      <c r="O400" s="13"/>
      <c r="P400" s="146"/>
      <c r="R400" s="129"/>
      <c r="T400" s="13"/>
    </row>
    <row r="401" spans="1:20" ht="12.75" customHeight="1" x14ac:dyDescent="0.2">
      <c r="A401" s="134"/>
      <c r="B401" s="145"/>
      <c r="C401" s="145"/>
      <c r="D401" s="145"/>
      <c r="E401" s="13"/>
      <c r="F401" s="13"/>
      <c r="G401" s="144"/>
      <c r="H401" s="13"/>
      <c r="I401" s="13"/>
      <c r="J401" s="13"/>
      <c r="K401" s="13"/>
      <c r="L401" s="13"/>
      <c r="M401" s="13"/>
      <c r="N401" s="146"/>
      <c r="O401" s="13"/>
      <c r="P401" s="146"/>
      <c r="R401" s="129"/>
      <c r="T401" s="13"/>
    </row>
    <row r="402" spans="1:20" ht="12.75" customHeight="1" x14ac:dyDescent="0.2">
      <c r="A402" s="134"/>
      <c r="B402" s="145"/>
      <c r="C402" s="145"/>
      <c r="D402" s="145"/>
      <c r="E402" s="13"/>
      <c r="F402" s="13"/>
      <c r="G402" s="144"/>
      <c r="H402" s="13"/>
      <c r="I402" s="13"/>
      <c r="J402" s="13"/>
      <c r="K402" s="13"/>
      <c r="L402" s="13"/>
      <c r="M402" s="13"/>
      <c r="N402" s="146"/>
      <c r="O402" s="13"/>
      <c r="P402" s="146"/>
      <c r="R402" s="129"/>
      <c r="T402" s="13"/>
    </row>
    <row r="403" spans="1:20" ht="12.75" customHeight="1" x14ac:dyDescent="0.2">
      <c r="A403" s="134"/>
      <c r="B403" s="145"/>
      <c r="C403" s="145"/>
      <c r="D403" s="145"/>
      <c r="E403" s="13"/>
      <c r="F403" s="13"/>
      <c r="G403" s="144"/>
      <c r="H403" s="13"/>
      <c r="I403" s="13"/>
      <c r="J403" s="13"/>
      <c r="K403" s="13"/>
      <c r="L403" s="13"/>
      <c r="M403" s="13"/>
      <c r="N403" s="146"/>
      <c r="O403" s="13"/>
      <c r="P403" s="146"/>
      <c r="R403" s="129"/>
      <c r="T403" s="13"/>
    </row>
    <row r="404" spans="1:20" ht="12.75" customHeight="1" x14ac:dyDescent="0.2">
      <c r="A404" s="134"/>
      <c r="B404" s="145"/>
      <c r="C404" s="145"/>
      <c r="D404" s="145"/>
      <c r="E404" s="13"/>
      <c r="F404" s="13"/>
      <c r="G404" s="144"/>
      <c r="H404" s="13"/>
      <c r="I404" s="13"/>
      <c r="J404" s="13"/>
      <c r="K404" s="13"/>
      <c r="L404" s="13"/>
      <c r="M404" s="13"/>
      <c r="N404" s="146"/>
      <c r="O404" s="13"/>
      <c r="P404" s="146"/>
      <c r="R404" s="129"/>
      <c r="T404" s="13"/>
    </row>
    <row r="405" spans="1:20" ht="12.75" customHeight="1" x14ac:dyDescent="0.2">
      <c r="A405" s="134"/>
      <c r="B405" s="145"/>
      <c r="C405" s="145"/>
      <c r="D405" s="145"/>
      <c r="E405" s="13"/>
      <c r="F405" s="13"/>
      <c r="G405" s="144"/>
      <c r="H405" s="13"/>
      <c r="I405" s="13"/>
      <c r="J405" s="13"/>
      <c r="K405" s="13"/>
      <c r="L405" s="13"/>
      <c r="M405" s="13"/>
      <c r="N405" s="146"/>
      <c r="O405" s="13"/>
      <c r="P405" s="146"/>
      <c r="R405" s="129"/>
      <c r="T405" s="13"/>
    </row>
    <row r="406" spans="1:20" ht="12.75" customHeight="1" x14ac:dyDescent="0.2">
      <c r="A406" s="134"/>
      <c r="B406" s="145"/>
      <c r="C406" s="145"/>
      <c r="D406" s="145"/>
      <c r="E406" s="13"/>
      <c r="F406" s="13"/>
      <c r="G406" s="144"/>
      <c r="H406" s="13"/>
      <c r="I406" s="13"/>
      <c r="J406" s="13"/>
      <c r="K406" s="13"/>
      <c r="L406" s="13"/>
      <c r="M406" s="13"/>
      <c r="N406" s="146"/>
      <c r="O406" s="13"/>
      <c r="P406" s="146"/>
      <c r="R406" s="129"/>
      <c r="T406" s="13"/>
    </row>
    <row r="407" spans="1:20" ht="12.75" customHeight="1" x14ac:dyDescent="0.2">
      <c r="A407" s="134"/>
      <c r="B407" s="145"/>
      <c r="C407" s="145"/>
      <c r="D407" s="145"/>
      <c r="E407" s="13"/>
      <c r="F407" s="13"/>
      <c r="G407" s="144"/>
      <c r="H407" s="13"/>
      <c r="I407" s="13"/>
      <c r="J407" s="13"/>
      <c r="K407" s="13"/>
      <c r="L407" s="13"/>
      <c r="M407" s="13"/>
      <c r="N407" s="146"/>
      <c r="O407" s="13"/>
      <c r="P407" s="146"/>
      <c r="R407" s="129"/>
      <c r="T407" s="13"/>
    </row>
    <row r="408" spans="1:20" ht="12.75" customHeight="1" x14ac:dyDescent="0.2">
      <c r="A408" s="134"/>
      <c r="B408" s="145"/>
      <c r="C408" s="145"/>
      <c r="D408" s="145"/>
      <c r="E408" s="13"/>
      <c r="F408" s="13"/>
      <c r="G408" s="144"/>
      <c r="H408" s="13"/>
      <c r="I408" s="13"/>
      <c r="J408" s="13"/>
      <c r="K408" s="13"/>
      <c r="L408" s="13"/>
      <c r="M408" s="13"/>
      <c r="N408" s="146"/>
      <c r="O408" s="13"/>
      <c r="P408" s="146"/>
      <c r="R408" s="129"/>
      <c r="T408" s="13"/>
    </row>
    <row r="409" spans="1:20" ht="12.75" customHeight="1" x14ac:dyDescent="0.2">
      <c r="A409" s="134"/>
      <c r="B409" s="145"/>
      <c r="C409" s="145"/>
      <c r="D409" s="145"/>
      <c r="E409" s="13"/>
      <c r="F409" s="13"/>
      <c r="G409" s="144"/>
      <c r="H409" s="13"/>
      <c r="I409" s="13"/>
      <c r="J409" s="13"/>
      <c r="K409" s="13"/>
      <c r="L409" s="13"/>
      <c r="M409" s="13"/>
      <c r="N409" s="146"/>
      <c r="O409" s="13"/>
      <c r="P409" s="146"/>
      <c r="R409" s="129"/>
      <c r="T409" s="13"/>
    </row>
    <row r="410" spans="1:20" ht="12.75" customHeight="1" x14ac:dyDescent="0.2">
      <c r="A410" s="134"/>
      <c r="B410" s="145"/>
      <c r="C410" s="145"/>
      <c r="D410" s="145"/>
      <c r="E410" s="13"/>
      <c r="F410" s="13"/>
      <c r="G410" s="144"/>
      <c r="H410" s="13"/>
      <c r="I410" s="13"/>
      <c r="J410" s="13"/>
      <c r="K410" s="13"/>
      <c r="L410" s="13"/>
      <c r="M410" s="13"/>
      <c r="N410" s="146"/>
      <c r="O410" s="13"/>
      <c r="P410" s="146"/>
      <c r="R410" s="129"/>
      <c r="T410" s="13"/>
    </row>
    <row r="411" spans="1:20" ht="12.75" customHeight="1" x14ac:dyDescent="0.2">
      <c r="A411" s="134"/>
      <c r="B411" s="145"/>
      <c r="C411" s="145"/>
      <c r="D411" s="145"/>
      <c r="E411" s="13"/>
      <c r="F411" s="13"/>
      <c r="G411" s="144"/>
      <c r="H411" s="13"/>
      <c r="I411" s="13"/>
      <c r="J411" s="13"/>
      <c r="K411" s="13"/>
      <c r="L411" s="13"/>
      <c r="M411" s="13"/>
      <c r="N411" s="146"/>
      <c r="O411" s="13"/>
      <c r="P411" s="146"/>
      <c r="R411" s="129"/>
      <c r="T411" s="13"/>
    </row>
    <row r="412" spans="1:20" ht="12.75" customHeight="1" x14ac:dyDescent="0.2">
      <c r="A412" s="134"/>
      <c r="B412" s="145"/>
      <c r="C412" s="145"/>
      <c r="D412" s="145"/>
      <c r="E412" s="13"/>
      <c r="F412" s="13"/>
      <c r="G412" s="144"/>
      <c r="H412" s="13"/>
      <c r="I412" s="13"/>
      <c r="J412" s="13"/>
      <c r="K412" s="13"/>
      <c r="L412" s="13"/>
      <c r="M412" s="13"/>
      <c r="N412" s="146"/>
      <c r="O412" s="13"/>
      <c r="P412" s="146"/>
      <c r="R412" s="129"/>
      <c r="T412" s="13"/>
    </row>
    <row r="413" spans="1:20" ht="12.75" customHeight="1" x14ac:dyDescent="0.2">
      <c r="A413" s="134"/>
      <c r="B413" s="145"/>
      <c r="C413" s="145"/>
      <c r="D413" s="145"/>
      <c r="E413" s="13"/>
      <c r="F413" s="13"/>
      <c r="G413" s="144"/>
      <c r="H413" s="13"/>
      <c r="I413" s="13"/>
      <c r="J413" s="13"/>
      <c r="K413" s="13"/>
      <c r="L413" s="13"/>
      <c r="M413" s="13"/>
      <c r="N413" s="146"/>
      <c r="O413" s="13"/>
      <c r="P413" s="146"/>
      <c r="R413" s="129"/>
      <c r="T413" s="13"/>
    </row>
    <row r="414" spans="1:20" ht="12.75" customHeight="1" x14ac:dyDescent="0.2">
      <c r="A414" s="134"/>
      <c r="B414" s="145"/>
      <c r="C414" s="145"/>
      <c r="D414" s="145"/>
      <c r="E414" s="13"/>
      <c r="F414" s="13"/>
      <c r="G414" s="144"/>
      <c r="H414" s="13"/>
      <c r="I414" s="13"/>
      <c r="J414" s="13"/>
      <c r="K414" s="13"/>
      <c r="L414" s="13"/>
      <c r="M414" s="13"/>
      <c r="N414" s="146"/>
      <c r="O414" s="13"/>
      <c r="P414" s="146"/>
      <c r="R414" s="129"/>
      <c r="T414" s="13"/>
    </row>
    <row r="415" spans="1:20" ht="12.75" customHeight="1" x14ac:dyDescent="0.2">
      <c r="A415" s="134"/>
      <c r="B415" s="145"/>
      <c r="C415" s="145"/>
      <c r="D415" s="145"/>
      <c r="E415" s="13"/>
      <c r="F415" s="13"/>
      <c r="G415" s="144"/>
      <c r="H415" s="13"/>
      <c r="I415" s="13"/>
      <c r="J415" s="13"/>
      <c r="K415" s="13"/>
      <c r="L415" s="13"/>
      <c r="M415" s="13"/>
      <c r="N415" s="146"/>
      <c r="O415" s="13"/>
      <c r="P415" s="146"/>
      <c r="R415" s="129"/>
      <c r="T415" s="13"/>
    </row>
    <row r="416" spans="1:20" ht="12.75" customHeight="1" x14ac:dyDescent="0.2">
      <c r="A416" s="134"/>
      <c r="B416" s="145"/>
      <c r="C416" s="145"/>
      <c r="D416" s="145"/>
      <c r="E416" s="13"/>
      <c r="F416" s="13"/>
      <c r="G416" s="144"/>
      <c r="H416" s="13"/>
      <c r="I416" s="13"/>
      <c r="J416" s="13"/>
      <c r="K416" s="13"/>
      <c r="L416" s="13"/>
      <c r="M416" s="13"/>
      <c r="N416" s="146"/>
      <c r="O416" s="13"/>
      <c r="P416" s="146"/>
      <c r="R416" s="129"/>
      <c r="T416" s="13"/>
    </row>
    <row r="417" spans="1:20" ht="12.75" customHeight="1" x14ac:dyDescent="0.2">
      <c r="A417" s="134"/>
      <c r="B417" s="145"/>
      <c r="C417" s="145"/>
      <c r="D417" s="145"/>
      <c r="E417" s="13"/>
      <c r="F417" s="13"/>
      <c r="G417" s="144"/>
      <c r="H417" s="13"/>
      <c r="I417" s="13"/>
      <c r="J417" s="13"/>
      <c r="K417" s="13"/>
      <c r="L417" s="13"/>
      <c r="M417" s="13"/>
      <c r="N417" s="146"/>
      <c r="O417" s="13"/>
      <c r="P417" s="146"/>
      <c r="R417" s="129"/>
      <c r="T417" s="13"/>
    </row>
    <row r="418" spans="1:20" ht="12.75" customHeight="1" x14ac:dyDescent="0.2">
      <c r="A418" s="134"/>
      <c r="B418" s="145"/>
      <c r="C418" s="145"/>
      <c r="D418" s="145"/>
      <c r="E418" s="13"/>
      <c r="F418" s="13"/>
      <c r="G418" s="144"/>
      <c r="H418" s="13"/>
      <c r="I418" s="13"/>
      <c r="J418" s="13"/>
      <c r="K418" s="13"/>
      <c r="L418" s="13"/>
      <c r="M418" s="13"/>
      <c r="N418" s="146"/>
      <c r="O418" s="13"/>
      <c r="P418" s="146"/>
      <c r="R418" s="129"/>
      <c r="T418" s="13"/>
    </row>
    <row r="419" spans="1:20" ht="12.75" customHeight="1" x14ac:dyDescent="0.2">
      <c r="A419" s="134"/>
      <c r="B419" s="145"/>
      <c r="C419" s="145"/>
      <c r="D419" s="145"/>
      <c r="E419" s="13"/>
      <c r="F419" s="13"/>
      <c r="G419" s="144"/>
      <c r="H419" s="13"/>
      <c r="I419" s="13"/>
      <c r="J419" s="13"/>
      <c r="K419" s="13"/>
      <c r="L419" s="13"/>
      <c r="M419" s="13"/>
      <c r="N419" s="146"/>
      <c r="O419" s="13"/>
      <c r="P419" s="146"/>
      <c r="R419" s="129"/>
      <c r="T419" s="13"/>
    </row>
    <row r="420" spans="1:20" ht="12.75" customHeight="1" x14ac:dyDescent="0.2">
      <c r="A420" s="134"/>
      <c r="B420" s="145"/>
      <c r="C420" s="145"/>
      <c r="D420" s="145"/>
      <c r="E420" s="13"/>
      <c r="F420" s="13"/>
      <c r="G420" s="144"/>
      <c r="H420" s="13"/>
      <c r="I420" s="13"/>
      <c r="J420" s="13"/>
      <c r="K420" s="13"/>
      <c r="L420" s="13"/>
      <c r="M420" s="13"/>
      <c r="N420" s="146"/>
      <c r="O420" s="13"/>
      <c r="P420" s="146"/>
      <c r="R420" s="129"/>
      <c r="T420" s="13"/>
    </row>
    <row r="421" spans="1:20" ht="12.75" customHeight="1" x14ac:dyDescent="0.2">
      <c r="A421" s="134"/>
      <c r="B421" s="145"/>
      <c r="C421" s="145"/>
      <c r="D421" s="145"/>
      <c r="E421" s="13"/>
      <c r="F421" s="13"/>
      <c r="G421" s="144"/>
      <c r="H421" s="13"/>
      <c r="I421" s="13"/>
      <c r="J421" s="13"/>
      <c r="K421" s="13"/>
      <c r="L421" s="13"/>
      <c r="M421" s="13"/>
      <c r="N421" s="146"/>
      <c r="O421" s="13"/>
      <c r="P421" s="146"/>
      <c r="R421" s="129"/>
      <c r="T421" s="13"/>
    </row>
    <row r="422" spans="1:20" ht="12.75" customHeight="1" x14ac:dyDescent="0.2">
      <c r="A422" s="134"/>
      <c r="B422" s="145"/>
      <c r="C422" s="145"/>
      <c r="D422" s="145"/>
      <c r="E422" s="13"/>
      <c r="F422" s="13"/>
      <c r="G422" s="144"/>
      <c r="H422" s="13"/>
      <c r="I422" s="13"/>
      <c r="J422" s="13"/>
      <c r="K422" s="13"/>
      <c r="L422" s="13"/>
      <c r="M422" s="13"/>
      <c r="N422" s="146"/>
      <c r="O422" s="13"/>
      <c r="P422" s="146"/>
      <c r="R422" s="129"/>
      <c r="T422" s="13"/>
    </row>
    <row r="423" spans="1:20" ht="12.75" customHeight="1" x14ac:dyDescent="0.2">
      <c r="A423" s="134"/>
      <c r="B423" s="145"/>
      <c r="C423" s="145"/>
      <c r="D423" s="145"/>
      <c r="E423" s="13"/>
      <c r="F423" s="13"/>
      <c r="G423" s="144"/>
      <c r="H423" s="13"/>
      <c r="I423" s="13"/>
      <c r="J423" s="13"/>
      <c r="K423" s="13"/>
      <c r="L423" s="13"/>
      <c r="M423" s="13"/>
      <c r="N423" s="146"/>
      <c r="O423" s="13"/>
      <c r="P423" s="146"/>
      <c r="R423" s="129"/>
      <c r="T423" s="13"/>
    </row>
    <row r="424" spans="1:20" ht="12.75" customHeight="1" x14ac:dyDescent="0.2">
      <c r="A424" s="134"/>
      <c r="B424" s="145"/>
      <c r="C424" s="145"/>
      <c r="D424" s="145"/>
      <c r="E424" s="13"/>
      <c r="F424" s="13"/>
      <c r="G424" s="144"/>
      <c r="H424" s="13"/>
      <c r="I424" s="13"/>
      <c r="J424" s="13"/>
      <c r="K424" s="13"/>
      <c r="L424" s="13"/>
      <c r="M424" s="13"/>
      <c r="N424" s="146"/>
      <c r="O424" s="13"/>
      <c r="P424" s="146"/>
      <c r="R424" s="129"/>
      <c r="T424" s="13"/>
    </row>
    <row r="425" spans="1:20" ht="12.75" customHeight="1" x14ac:dyDescent="0.2">
      <c r="A425" s="134"/>
      <c r="B425" s="145"/>
      <c r="C425" s="145"/>
      <c r="D425" s="145"/>
      <c r="E425" s="13"/>
      <c r="F425" s="13"/>
      <c r="G425" s="144"/>
      <c r="H425" s="13"/>
      <c r="I425" s="13"/>
      <c r="J425" s="13"/>
      <c r="K425" s="13"/>
      <c r="L425" s="13"/>
      <c r="M425" s="13"/>
      <c r="N425" s="146"/>
      <c r="O425" s="13"/>
      <c r="P425" s="146"/>
      <c r="R425" s="129"/>
      <c r="T425" s="13"/>
    </row>
    <row r="426" spans="1:20" ht="12.75" customHeight="1" x14ac:dyDescent="0.2">
      <c r="A426" s="134"/>
      <c r="B426" s="145"/>
      <c r="C426" s="145"/>
      <c r="D426" s="145"/>
      <c r="E426" s="13"/>
      <c r="F426" s="13"/>
      <c r="G426" s="144"/>
      <c r="H426" s="13"/>
      <c r="I426" s="13"/>
      <c r="J426" s="13"/>
      <c r="K426" s="13"/>
      <c r="L426" s="13"/>
      <c r="M426" s="13"/>
      <c r="N426" s="146"/>
      <c r="O426" s="13"/>
      <c r="P426" s="146"/>
      <c r="R426" s="129"/>
      <c r="T426" s="13"/>
    </row>
    <row r="427" spans="1:20" ht="12.75" customHeight="1" x14ac:dyDescent="0.2">
      <c r="A427" s="134"/>
      <c r="B427" s="145"/>
      <c r="C427" s="145"/>
      <c r="D427" s="145"/>
      <c r="E427" s="13"/>
      <c r="F427" s="13"/>
      <c r="G427" s="144"/>
      <c r="H427" s="13"/>
      <c r="I427" s="13"/>
      <c r="J427" s="13"/>
      <c r="K427" s="13"/>
      <c r="L427" s="13"/>
      <c r="M427" s="13"/>
      <c r="N427" s="146"/>
      <c r="O427" s="13"/>
      <c r="P427" s="146"/>
      <c r="R427" s="129"/>
      <c r="T427" s="13"/>
    </row>
    <row r="428" spans="1:20" ht="12.75" customHeight="1" x14ac:dyDescent="0.2">
      <c r="A428" s="134"/>
      <c r="B428" s="145"/>
      <c r="C428" s="145"/>
      <c r="D428" s="145"/>
      <c r="E428" s="13"/>
      <c r="F428" s="13"/>
      <c r="G428" s="144"/>
      <c r="H428" s="13"/>
      <c r="I428" s="13"/>
      <c r="J428" s="13"/>
      <c r="K428" s="13"/>
      <c r="L428" s="13"/>
      <c r="M428" s="13"/>
      <c r="N428" s="146"/>
      <c r="O428" s="13"/>
      <c r="P428" s="146"/>
      <c r="R428" s="129"/>
      <c r="T428" s="13"/>
    </row>
    <row r="429" spans="1:20" ht="12.75" customHeight="1" x14ac:dyDescent="0.2">
      <c r="A429" s="134"/>
      <c r="B429" s="145"/>
      <c r="C429" s="145"/>
      <c r="D429" s="145"/>
      <c r="E429" s="13"/>
      <c r="F429" s="13"/>
      <c r="G429" s="144"/>
      <c r="H429" s="13"/>
      <c r="I429" s="13"/>
      <c r="J429" s="13"/>
      <c r="K429" s="13"/>
      <c r="L429" s="13"/>
      <c r="M429" s="13"/>
      <c r="N429" s="146"/>
      <c r="O429" s="13"/>
      <c r="P429" s="146"/>
      <c r="R429" s="129"/>
      <c r="T429" s="13"/>
    </row>
    <row r="430" spans="1:20" ht="12.75" customHeight="1" x14ac:dyDescent="0.2">
      <c r="A430" s="134"/>
      <c r="B430" s="145"/>
      <c r="C430" s="145"/>
      <c r="D430" s="145"/>
      <c r="E430" s="13"/>
      <c r="F430" s="13"/>
      <c r="G430" s="144"/>
      <c r="H430" s="13"/>
      <c r="I430" s="13"/>
      <c r="J430" s="13"/>
      <c r="K430" s="13"/>
      <c r="L430" s="13"/>
      <c r="M430" s="13"/>
      <c r="N430" s="146"/>
      <c r="O430" s="13"/>
      <c r="P430" s="146"/>
      <c r="R430" s="129"/>
      <c r="T430" s="13"/>
    </row>
    <row r="431" spans="1:20" ht="12.75" customHeight="1" x14ac:dyDescent="0.2">
      <c r="A431" s="134"/>
      <c r="B431" s="145"/>
      <c r="C431" s="145"/>
      <c r="D431" s="145"/>
      <c r="E431" s="13"/>
      <c r="F431" s="13"/>
      <c r="G431" s="144"/>
      <c r="H431" s="13"/>
      <c r="I431" s="13"/>
      <c r="J431" s="13"/>
      <c r="K431" s="13"/>
      <c r="L431" s="13"/>
      <c r="M431" s="13"/>
      <c r="N431" s="146"/>
      <c r="O431" s="13"/>
      <c r="P431" s="146"/>
      <c r="R431" s="129"/>
      <c r="T431" s="13"/>
    </row>
    <row r="432" spans="1:20" ht="12.75" customHeight="1" x14ac:dyDescent="0.2">
      <c r="A432" s="134"/>
      <c r="B432" s="145"/>
      <c r="C432" s="145"/>
      <c r="D432" s="145"/>
      <c r="E432" s="13"/>
      <c r="F432" s="13"/>
      <c r="G432" s="144"/>
      <c r="H432" s="13"/>
      <c r="I432" s="13"/>
      <c r="J432" s="13"/>
      <c r="K432" s="13"/>
      <c r="L432" s="13"/>
      <c r="M432" s="13"/>
      <c r="N432" s="146"/>
      <c r="O432" s="13"/>
      <c r="P432" s="146"/>
      <c r="R432" s="129"/>
      <c r="T432" s="13"/>
    </row>
    <row r="433" spans="1:20" ht="12.75" customHeight="1" x14ac:dyDescent="0.2">
      <c r="A433" s="134"/>
      <c r="B433" s="145"/>
      <c r="C433" s="145"/>
      <c r="D433" s="145"/>
      <c r="E433" s="13"/>
      <c r="F433" s="13"/>
      <c r="G433" s="144"/>
      <c r="H433" s="13"/>
      <c r="I433" s="13"/>
      <c r="J433" s="13"/>
      <c r="K433" s="13"/>
      <c r="L433" s="13"/>
      <c r="M433" s="13"/>
      <c r="N433" s="146"/>
      <c r="O433" s="13"/>
      <c r="P433" s="146"/>
      <c r="R433" s="129"/>
      <c r="T433" s="13"/>
    </row>
    <row r="434" spans="1:20" ht="12.75" customHeight="1" x14ac:dyDescent="0.2">
      <c r="A434" s="134"/>
      <c r="B434" s="145"/>
      <c r="C434" s="145"/>
      <c r="D434" s="145"/>
      <c r="E434" s="13"/>
      <c r="F434" s="13"/>
      <c r="G434" s="144"/>
      <c r="H434" s="13"/>
      <c r="I434" s="13"/>
      <c r="J434" s="13"/>
      <c r="K434" s="13"/>
      <c r="L434" s="13"/>
      <c r="M434" s="13"/>
      <c r="N434" s="146"/>
      <c r="O434" s="13"/>
      <c r="P434" s="146"/>
      <c r="R434" s="129"/>
      <c r="T434" s="13"/>
    </row>
    <row r="435" spans="1:20" ht="12.75" customHeight="1" x14ac:dyDescent="0.2">
      <c r="A435" s="134"/>
      <c r="B435" s="145"/>
      <c r="C435" s="145"/>
      <c r="D435" s="145"/>
      <c r="E435" s="13"/>
      <c r="F435" s="13"/>
      <c r="G435" s="144"/>
      <c r="H435" s="13"/>
      <c r="I435" s="13"/>
      <c r="J435" s="13"/>
      <c r="K435" s="13"/>
      <c r="L435" s="13"/>
      <c r="M435" s="13"/>
      <c r="N435" s="146"/>
      <c r="O435" s="13"/>
      <c r="P435" s="146"/>
      <c r="R435" s="129"/>
      <c r="T435" s="13"/>
    </row>
    <row r="436" spans="1:20" ht="12.75" customHeight="1" x14ac:dyDescent="0.2">
      <c r="A436" s="134"/>
      <c r="B436" s="145"/>
      <c r="C436" s="145"/>
      <c r="D436" s="145"/>
      <c r="E436" s="13"/>
      <c r="F436" s="13"/>
      <c r="G436" s="144"/>
      <c r="H436" s="13"/>
      <c r="I436" s="13"/>
      <c r="J436" s="13"/>
      <c r="K436" s="13"/>
      <c r="L436" s="13"/>
      <c r="M436" s="13"/>
      <c r="N436" s="146"/>
      <c r="O436" s="13"/>
      <c r="P436" s="146"/>
      <c r="R436" s="129"/>
      <c r="T436" s="13"/>
    </row>
    <row r="437" spans="1:20" ht="12.75" customHeight="1" x14ac:dyDescent="0.2">
      <c r="A437" s="134"/>
      <c r="B437" s="145"/>
      <c r="C437" s="145"/>
      <c r="D437" s="145"/>
      <c r="E437" s="13"/>
      <c r="F437" s="13"/>
      <c r="G437" s="144"/>
      <c r="H437" s="13"/>
      <c r="I437" s="13"/>
      <c r="J437" s="13"/>
      <c r="K437" s="13"/>
      <c r="L437" s="13"/>
      <c r="M437" s="13"/>
      <c r="N437" s="146"/>
      <c r="O437" s="13"/>
      <c r="P437" s="146"/>
      <c r="R437" s="129"/>
      <c r="T437" s="13"/>
    </row>
    <row r="438" spans="1:20" ht="12.75" customHeight="1" x14ac:dyDescent="0.2">
      <c r="A438" s="134"/>
      <c r="B438" s="145"/>
      <c r="C438" s="145"/>
      <c r="D438" s="145"/>
      <c r="E438" s="13"/>
      <c r="F438" s="13"/>
      <c r="G438" s="144"/>
      <c r="H438" s="13"/>
      <c r="I438" s="13"/>
      <c r="J438" s="13"/>
      <c r="K438" s="13"/>
      <c r="L438" s="13"/>
      <c r="M438" s="13"/>
      <c r="N438" s="146"/>
      <c r="O438" s="13"/>
      <c r="P438" s="146"/>
      <c r="R438" s="129"/>
      <c r="T438" s="13"/>
    </row>
    <row r="439" spans="1:20" ht="12.75" customHeight="1" x14ac:dyDescent="0.2">
      <c r="A439" s="134"/>
      <c r="B439" s="145"/>
      <c r="C439" s="145"/>
      <c r="D439" s="145"/>
      <c r="E439" s="13"/>
      <c r="F439" s="13"/>
      <c r="G439" s="144"/>
      <c r="H439" s="13"/>
      <c r="I439" s="13"/>
      <c r="J439" s="13"/>
      <c r="K439" s="13"/>
      <c r="L439" s="13"/>
      <c r="M439" s="13"/>
      <c r="N439" s="146"/>
      <c r="O439" s="13"/>
      <c r="P439" s="146"/>
      <c r="R439" s="129"/>
      <c r="T439" s="13"/>
    </row>
    <row r="440" spans="1:20" ht="12.75" customHeight="1" x14ac:dyDescent="0.2">
      <c r="A440" s="134"/>
      <c r="B440" s="145"/>
      <c r="C440" s="145"/>
      <c r="D440" s="145"/>
      <c r="E440" s="13"/>
      <c r="F440" s="13"/>
      <c r="G440" s="144"/>
      <c r="H440" s="13"/>
      <c r="I440" s="13"/>
      <c r="J440" s="13"/>
      <c r="K440" s="13"/>
      <c r="L440" s="13"/>
      <c r="M440" s="13"/>
      <c r="N440" s="146"/>
      <c r="O440" s="13"/>
      <c r="P440" s="146"/>
      <c r="R440" s="129"/>
      <c r="T440" s="13"/>
    </row>
    <row r="441" spans="1:20" ht="12.75" customHeight="1" x14ac:dyDescent="0.2">
      <c r="A441" s="134"/>
      <c r="B441" s="145"/>
      <c r="C441" s="145"/>
      <c r="D441" s="145"/>
      <c r="E441" s="13"/>
      <c r="F441" s="13"/>
      <c r="G441" s="144"/>
      <c r="H441" s="13"/>
      <c r="I441" s="13"/>
      <c r="J441" s="13"/>
      <c r="K441" s="13"/>
      <c r="L441" s="13"/>
      <c r="M441" s="13"/>
      <c r="N441" s="146"/>
      <c r="O441" s="13"/>
      <c r="P441" s="146"/>
      <c r="R441" s="129"/>
      <c r="T441" s="13"/>
    </row>
    <row r="442" spans="1:20" ht="12.75" customHeight="1" x14ac:dyDescent="0.2">
      <c r="A442" s="134"/>
      <c r="B442" s="145"/>
      <c r="C442" s="145"/>
      <c r="D442" s="145"/>
      <c r="E442" s="13"/>
      <c r="F442" s="13"/>
      <c r="G442" s="144"/>
      <c r="H442" s="13"/>
      <c r="I442" s="13"/>
      <c r="J442" s="13"/>
      <c r="K442" s="13"/>
      <c r="L442" s="13"/>
      <c r="M442" s="13"/>
      <c r="N442" s="146"/>
      <c r="O442" s="13"/>
      <c r="P442" s="146"/>
      <c r="R442" s="129"/>
      <c r="T442" s="13"/>
    </row>
    <row r="443" spans="1:20" ht="12.75" customHeight="1" x14ac:dyDescent="0.2">
      <c r="A443" s="134"/>
      <c r="B443" s="145"/>
      <c r="C443" s="145"/>
      <c r="D443" s="145"/>
      <c r="E443" s="13"/>
      <c r="F443" s="13"/>
      <c r="G443" s="144"/>
      <c r="H443" s="13"/>
      <c r="I443" s="13"/>
      <c r="J443" s="13"/>
      <c r="K443" s="13"/>
      <c r="L443" s="13"/>
      <c r="M443" s="13"/>
      <c r="N443" s="146"/>
      <c r="O443" s="13"/>
      <c r="P443" s="146"/>
      <c r="R443" s="129"/>
      <c r="T443" s="13"/>
    </row>
    <row r="444" spans="1:20" ht="12.75" customHeight="1" x14ac:dyDescent="0.2">
      <c r="A444" s="134"/>
      <c r="B444" s="145"/>
      <c r="C444" s="145"/>
      <c r="D444" s="145"/>
      <c r="E444" s="13"/>
      <c r="F444" s="13"/>
      <c r="G444" s="144"/>
      <c r="H444" s="13"/>
      <c r="I444" s="13"/>
      <c r="J444" s="13"/>
      <c r="K444" s="13"/>
      <c r="L444" s="13"/>
      <c r="M444" s="13"/>
      <c r="N444" s="146"/>
      <c r="O444" s="13"/>
      <c r="P444" s="146"/>
      <c r="R444" s="129"/>
      <c r="T444" s="13"/>
    </row>
    <row r="445" spans="1:20" ht="12.75" customHeight="1" x14ac:dyDescent="0.2">
      <c r="A445" s="134"/>
      <c r="B445" s="145"/>
      <c r="C445" s="145"/>
      <c r="D445" s="145"/>
      <c r="E445" s="13"/>
      <c r="F445" s="13"/>
      <c r="G445" s="144"/>
      <c r="H445" s="13"/>
      <c r="I445" s="13"/>
      <c r="J445" s="13"/>
      <c r="K445" s="13"/>
      <c r="L445" s="13"/>
      <c r="M445" s="13"/>
      <c r="N445" s="146"/>
      <c r="O445" s="13"/>
      <c r="P445" s="146"/>
      <c r="R445" s="129"/>
      <c r="T445" s="13"/>
    </row>
    <row r="446" spans="1:20" ht="12.75" customHeight="1" x14ac:dyDescent="0.2">
      <c r="A446" s="134"/>
      <c r="B446" s="145"/>
      <c r="C446" s="145"/>
      <c r="D446" s="145"/>
      <c r="E446" s="13"/>
      <c r="F446" s="13"/>
      <c r="G446" s="144"/>
      <c r="H446" s="13"/>
      <c r="I446" s="13"/>
      <c r="J446" s="13"/>
      <c r="K446" s="13"/>
      <c r="L446" s="13"/>
      <c r="M446" s="13"/>
      <c r="N446" s="146"/>
      <c r="O446" s="13"/>
      <c r="P446" s="146"/>
      <c r="R446" s="129"/>
      <c r="T446" s="13"/>
    </row>
    <row r="447" spans="1:20" ht="12.75" customHeight="1" x14ac:dyDescent="0.2">
      <c r="A447" s="134"/>
      <c r="B447" s="145"/>
      <c r="C447" s="145"/>
      <c r="D447" s="145"/>
      <c r="E447" s="13"/>
      <c r="F447" s="13"/>
      <c r="G447" s="144"/>
      <c r="H447" s="13"/>
      <c r="I447" s="13"/>
      <c r="J447" s="13"/>
      <c r="K447" s="13"/>
      <c r="L447" s="13"/>
      <c r="M447" s="13"/>
      <c r="N447" s="146"/>
      <c r="O447" s="13"/>
      <c r="P447" s="146"/>
      <c r="R447" s="129"/>
      <c r="T447" s="13"/>
    </row>
    <row r="448" spans="1:20" ht="12.75" customHeight="1" x14ac:dyDescent="0.2">
      <c r="A448" s="134"/>
      <c r="B448" s="145"/>
      <c r="C448" s="145"/>
      <c r="D448" s="145"/>
      <c r="E448" s="13"/>
      <c r="F448" s="13"/>
      <c r="G448" s="144"/>
      <c r="H448" s="13"/>
      <c r="I448" s="13"/>
      <c r="J448" s="13"/>
      <c r="K448" s="13"/>
      <c r="L448" s="13"/>
      <c r="M448" s="13"/>
      <c r="N448" s="146"/>
      <c r="O448" s="13"/>
      <c r="P448" s="146"/>
      <c r="R448" s="129"/>
      <c r="T448" s="13"/>
    </row>
    <row r="449" spans="1:20" ht="12.75" customHeight="1" x14ac:dyDescent="0.2">
      <c r="A449" s="134"/>
      <c r="B449" s="145"/>
      <c r="C449" s="145"/>
      <c r="D449" s="145"/>
      <c r="E449" s="13"/>
      <c r="F449" s="13"/>
      <c r="G449" s="144"/>
      <c r="H449" s="13"/>
      <c r="I449" s="13"/>
      <c r="J449" s="13"/>
      <c r="K449" s="13"/>
      <c r="L449" s="13"/>
      <c r="M449" s="13"/>
      <c r="N449" s="146"/>
      <c r="O449" s="13"/>
      <c r="P449" s="146"/>
      <c r="R449" s="129"/>
      <c r="T449" s="13"/>
    </row>
    <row r="450" spans="1:20" ht="12.75" customHeight="1" x14ac:dyDescent="0.2">
      <c r="A450" s="134"/>
      <c r="B450" s="145"/>
      <c r="C450" s="145"/>
      <c r="D450" s="145"/>
      <c r="E450" s="13"/>
      <c r="F450" s="13"/>
      <c r="G450" s="144"/>
      <c r="H450" s="13"/>
      <c r="I450" s="13"/>
      <c r="J450" s="13"/>
      <c r="K450" s="13"/>
      <c r="L450" s="13"/>
      <c r="M450" s="13"/>
      <c r="N450" s="146"/>
      <c r="O450" s="13"/>
      <c r="P450" s="146"/>
      <c r="R450" s="129"/>
      <c r="T450" s="13"/>
    </row>
    <row r="451" spans="1:20" ht="12.75" customHeight="1" x14ac:dyDescent="0.2">
      <c r="A451" s="134"/>
      <c r="B451" s="145"/>
      <c r="C451" s="145"/>
      <c r="D451" s="145"/>
      <c r="E451" s="13"/>
      <c r="F451" s="13"/>
      <c r="G451" s="144"/>
      <c r="H451" s="13"/>
      <c r="I451" s="13"/>
      <c r="J451" s="13"/>
      <c r="K451" s="13"/>
      <c r="L451" s="13"/>
      <c r="M451" s="13"/>
      <c r="N451" s="146"/>
      <c r="O451" s="13"/>
      <c r="P451" s="146"/>
      <c r="R451" s="129"/>
      <c r="T451" s="13"/>
    </row>
    <row r="452" spans="1:20" ht="12.75" customHeight="1" x14ac:dyDescent="0.2">
      <c r="A452" s="134"/>
      <c r="B452" s="145"/>
      <c r="C452" s="145"/>
      <c r="D452" s="145"/>
      <c r="E452" s="13"/>
      <c r="F452" s="13"/>
      <c r="G452" s="144"/>
      <c r="H452" s="13"/>
      <c r="I452" s="13"/>
      <c r="J452" s="13"/>
      <c r="K452" s="13"/>
      <c r="L452" s="13"/>
      <c r="M452" s="13"/>
      <c r="N452" s="146"/>
      <c r="O452" s="13"/>
      <c r="P452" s="146"/>
      <c r="R452" s="129"/>
      <c r="T452" s="13"/>
    </row>
    <row r="453" spans="1:20" ht="12.75" customHeight="1" x14ac:dyDescent="0.2">
      <c r="A453" s="134"/>
      <c r="B453" s="145"/>
      <c r="C453" s="145"/>
      <c r="D453" s="145"/>
      <c r="E453" s="13"/>
      <c r="F453" s="13"/>
      <c r="G453" s="144"/>
      <c r="H453" s="13"/>
      <c r="I453" s="13"/>
      <c r="J453" s="13"/>
      <c r="K453" s="13"/>
      <c r="L453" s="13"/>
      <c r="M453" s="13"/>
      <c r="N453" s="146"/>
      <c r="O453" s="13"/>
      <c r="P453" s="146"/>
      <c r="R453" s="129"/>
      <c r="T453" s="13"/>
    </row>
    <row r="454" spans="1:20" ht="12.75" customHeight="1" x14ac:dyDescent="0.2">
      <c r="A454" s="134"/>
      <c r="B454" s="145"/>
      <c r="C454" s="145"/>
      <c r="D454" s="145"/>
      <c r="E454" s="13"/>
      <c r="F454" s="13"/>
      <c r="G454" s="144"/>
      <c r="H454" s="13"/>
      <c r="I454" s="13"/>
      <c r="J454" s="13"/>
      <c r="K454" s="13"/>
      <c r="L454" s="13"/>
      <c r="M454" s="13"/>
      <c r="N454" s="146"/>
      <c r="O454" s="13"/>
      <c r="P454" s="146"/>
      <c r="R454" s="129"/>
      <c r="T454" s="13"/>
    </row>
    <row r="455" spans="1:20" ht="12.75" customHeight="1" x14ac:dyDescent="0.2">
      <c r="A455" s="134"/>
      <c r="B455" s="145"/>
      <c r="C455" s="145"/>
      <c r="D455" s="145"/>
      <c r="E455" s="13"/>
      <c r="F455" s="13"/>
      <c r="G455" s="144"/>
      <c r="H455" s="13"/>
      <c r="I455" s="13"/>
      <c r="J455" s="13"/>
      <c r="K455" s="13"/>
      <c r="L455" s="13"/>
      <c r="M455" s="13"/>
      <c r="N455" s="146"/>
      <c r="O455" s="13"/>
      <c r="P455" s="146"/>
      <c r="R455" s="129"/>
      <c r="T455" s="13"/>
    </row>
    <row r="456" spans="1:20" ht="12.75" customHeight="1" x14ac:dyDescent="0.2">
      <c r="A456" s="134"/>
      <c r="B456" s="145"/>
      <c r="C456" s="145"/>
      <c r="D456" s="145"/>
      <c r="E456" s="13"/>
      <c r="F456" s="13"/>
      <c r="G456" s="144"/>
      <c r="H456" s="13"/>
      <c r="I456" s="13"/>
      <c r="J456" s="13"/>
      <c r="K456" s="13"/>
      <c r="L456" s="13"/>
      <c r="M456" s="13"/>
      <c r="N456" s="146"/>
      <c r="O456" s="13"/>
      <c r="P456" s="146"/>
      <c r="R456" s="129"/>
      <c r="T456" s="13"/>
    </row>
    <row r="457" spans="1:20" ht="12.75" customHeight="1" x14ac:dyDescent="0.2">
      <c r="A457" s="134"/>
      <c r="B457" s="145"/>
      <c r="C457" s="145"/>
      <c r="D457" s="145"/>
      <c r="E457" s="13"/>
      <c r="F457" s="13"/>
      <c r="G457" s="144"/>
      <c r="H457" s="13"/>
      <c r="I457" s="13"/>
      <c r="J457" s="13"/>
      <c r="K457" s="13"/>
      <c r="L457" s="13"/>
      <c r="M457" s="13"/>
      <c r="N457" s="146"/>
      <c r="O457" s="13"/>
      <c r="P457" s="146"/>
      <c r="R457" s="129"/>
      <c r="T457" s="13"/>
    </row>
    <row r="458" spans="1:20" ht="12.75" customHeight="1" x14ac:dyDescent="0.2">
      <c r="A458" s="134"/>
      <c r="B458" s="145"/>
      <c r="C458" s="145"/>
      <c r="D458" s="145"/>
      <c r="E458" s="13"/>
      <c r="F458" s="13"/>
      <c r="G458" s="144"/>
      <c r="H458" s="13"/>
      <c r="I458" s="13"/>
      <c r="J458" s="13"/>
      <c r="K458" s="13"/>
      <c r="L458" s="13"/>
      <c r="M458" s="13"/>
      <c r="N458" s="146"/>
      <c r="O458" s="13"/>
      <c r="P458" s="146"/>
      <c r="R458" s="129"/>
      <c r="T458" s="13"/>
    </row>
    <row r="459" spans="1:20" ht="12.75" customHeight="1" x14ac:dyDescent="0.2">
      <c r="A459" s="134"/>
      <c r="B459" s="145"/>
      <c r="C459" s="145"/>
      <c r="D459" s="145"/>
      <c r="E459" s="13"/>
      <c r="F459" s="13"/>
      <c r="G459" s="144"/>
      <c r="H459" s="13"/>
      <c r="I459" s="13"/>
      <c r="J459" s="13"/>
      <c r="K459" s="13"/>
      <c r="L459" s="13"/>
      <c r="M459" s="13"/>
      <c r="N459" s="146"/>
      <c r="O459" s="13"/>
      <c r="P459" s="146"/>
      <c r="R459" s="129"/>
      <c r="T459" s="13"/>
    </row>
    <row r="460" spans="1:20" ht="12.75" customHeight="1" x14ac:dyDescent="0.2">
      <c r="A460" s="134"/>
      <c r="B460" s="145"/>
      <c r="C460" s="145"/>
      <c r="D460" s="145"/>
      <c r="E460" s="13"/>
      <c r="F460" s="13"/>
      <c r="G460" s="144"/>
      <c r="H460" s="13"/>
      <c r="I460" s="13"/>
      <c r="J460" s="13"/>
      <c r="K460" s="13"/>
      <c r="L460" s="13"/>
      <c r="M460" s="13"/>
      <c r="N460" s="146"/>
      <c r="O460" s="13"/>
      <c r="P460" s="146"/>
      <c r="R460" s="129"/>
      <c r="T460" s="13"/>
    </row>
    <row r="461" spans="1:20" ht="12.75" customHeight="1" x14ac:dyDescent="0.2">
      <c r="A461" s="134"/>
      <c r="B461" s="145"/>
      <c r="C461" s="145"/>
      <c r="D461" s="145"/>
      <c r="E461" s="13"/>
      <c r="F461" s="13"/>
      <c r="G461" s="144"/>
      <c r="H461" s="13"/>
      <c r="I461" s="13"/>
      <c r="J461" s="13"/>
      <c r="K461" s="13"/>
      <c r="L461" s="13"/>
      <c r="M461" s="13"/>
      <c r="N461" s="146"/>
      <c r="O461" s="13"/>
      <c r="P461" s="146"/>
      <c r="R461" s="129"/>
      <c r="T461" s="13"/>
    </row>
    <row r="462" spans="1:20" ht="12.75" customHeight="1" x14ac:dyDescent="0.2">
      <c r="A462" s="134"/>
      <c r="B462" s="145"/>
      <c r="C462" s="145"/>
      <c r="D462" s="145"/>
      <c r="E462" s="13"/>
      <c r="F462" s="13"/>
      <c r="G462" s="144"/>
      <c r="H462" s="13"/>
      <c r="I462" s="13"/>
      <c r="J462" s="13"/>
      <c r="K462" s="13"/>
      <c r="L462" s="13"/>
      <c r="M462" s="13"/>
      <c r="N462" s="146"/>
      <c r="O462" s="13"/>
      <c r="P462" s="146"/>
      <c r="R462" s="129"/>
      <c r="T462" s="13"/>
    </row>
    <row r="463" spans="1:20" ht="12.75" customHeight="1" x14ac:dyDescent="0.2">
      <c r="A463" s="134"/>
      <c r="B463" s="145"/>
      <c r="C463" s="145"/>
      <c r="D463" s="145"/>
      <c r="E463" s="13"/>
      <c r="F463" s="13"/>
      <c r="G463" s="144"/>
      <c r="H463" s="13"/>
      <c r="I463" s="13"/>
      <c r="J463" s="13"/>
      <c r="K463" s="13"/>
      <c r="L463" s="13"/>
      <c r="M463" s="13"/>
      <c r="N463" s="146"/>
      <c r="O463" s="13"/>
      <c r="P463" s="146"/>
      <c r="R463" s="129"/>
      <c r="T463" s="13"/>
    </row>
    <row r="464" spans="1:20" ht="12.75" customHeight="1" x14ac:dyDescent="0.2">
      <c r="A464" s="134"/>
      <c r="B464" s="145"/>
      <c r="C464" s="145"/>
      <c r="D464" s="145"/>
      <c r="E464" s="13"/>
      <c r="F464" s="13"/>
      <c r="G464" s="144"/>
      <c r="H464" s="13"/>
      <c r="I464" s="13"/>
      <c r="J464" s="13"/>
      <c r="K464" s="13"/>
      <c r="L464" s="13"/>
      <c r="M464" s="13"/>
      <c r="N464" s="146"/>
      <c r="O464" s="13"/>
      <c r="P464" s="146"/>
      <c r="R464" s="129"/>
      <c r="T464" s="13"/>
    </row>
    <row r="465" spans="1:20" ht="12.75" customHeight="1" x14ac:dyDescent="0.2">
      <c r="A465" s="134"/>
      <c r="B465" s="145"/>
      <c r="C465" s="145"/>
      <c r="D465" s="145"/>
      <c r="E465" s="13"/>
      <c r="F465" s="13"/>
      <c r="G465" s="144"/>
      <c r="H465" s="13"/>
      <c r="I465" s="13"/>
      <c r="J465" s="13"/>
      <c r="K465" s="13"/>
      <c r="L465" s="13"/>
      <c r="M465" s="13"/>
      <c r="N465" s="146"/>
      <c r="O465" s="13"/>
      <c r="P465" s="146"/>
      <c r="R465" s="129"/>
      <c r="T465" s="13"/>
    </row>
    <row r="466" spans="1:20" ht="12.75" customHeight="1" x14ac:dyDescent="0.2">
      <c r="A466" s="134"/>
      <c r="B466" s="145"/>
      <c r="C466" s="145"/>
      <c r="D466" s="145"/>
      <c r="E466" s="13"/>
      <c r="F466" s="13"/>
      <c r="G466" s="144"/>
      <c r="H466" s="13"/>
      <c r="I466" s="13"/>
      <c r="J466" s="13"/>
      <c r="K466" s="13"/>
      <c r="L466" s="13"/>
      <c r="M466" s="13"/>
      <c r="N466" s="146"/>
      <c r="O466" s="13"/>
      <c r="P466" s="146"/>
      <c r="R466" s="129"/>
      <c r="T466" s="13"/>
    </row>
    <row r="467" spans="1:20" ht="12.75" customHeight="1" x14ac:dyDescent="0.2">
      <c r="A467" s="134"/>
      <c r="B467" s="145"/>
      <c r="C467" s="145"/>
      <c r="D467" s="145"/>
      <c r="E467" s="13"/>
      <c r="F467" s="13"/>
      <c r="G467" s="144"/>
      <c r="H467" s="13"/>
      <c r="I467" s="13"/>
      <c r="J467" s="13"/>
      <c r="K467" s="13"/>
      <c r="L467" s="13"/>
      <c r="M467" s="13"/>
      <c r="N467" s="146"/>
      <c r="O467" s="13"/>
      <c r="P467" s="146"/>
      <c r="R467" s="129"/>
      <c r="T467" s="13"/>
    </row>
    <row r="468" spans="1:20" ht="12.75" customHeight="1" x14ac:dyDescent="0.2">
      <c r="A468" s="134"/>
      <c r="B468" s="145"/>
      <c r="C468" s="145"/>
      <c r="D468" s="145"/>
      <c r="E468" s="13"/>
      <c r="F468" s="13"/>
      <c r="G468" s="144"/>
      <c r="H468" s="13"/>
      <c r="I468" s="13"/>
      <c r="J468" s="13"/>
      <c r="K468" s="13"/>
      <c r="L468" s="13"/>
      <c r="M468" s="13"/>
      <c r="N468" s="146"/>
      <c r="O468" s="13"/>
      <c r="P468" s="146"/>
      <c r="R468" s="129"/>
      <c r="T468" s="13"/>
    </row>
    <row r="469" spans="1:20" ht="12.75" customHeight="1" x14ac:dyDescent="0.2">
      <c r="A469" s="134"/>
      <c r="B469" s="145"/>
      <c r="C469" s="145"/>
      <c r="D469" s="145"/>
      <c r="E469" s="13"/>
      <c r="F469" s="13"/>
      <c r="G469" s="144"/>
      <c r="H469" s="13"/>
      <c r="I469" s="13"/>
      <c r="J469" s="13"/>
      <c r="K469" s="13"/>
      <c r="L469" s="13"/>
      <c r="M469" s="13"/>
      <c r="N469" s="146"/>
      <c r="O469" s="13"/>
      <c r="P469" s="146"/>
      <c r="R469" s="129"/>
      <c r="T469" s="13"/>
    </row>
    <row r="470" spans="1:20" ht="12.75" customHeight="1" x14ac:dyDescent="0.2">
      <c r="A470" s="134"/>
      <c r="B470" s="145"/>
      <c r="C470" s="145"/>
      <c r="D470" s="145"/>
      <c r="E470" s="13"/>
      <c r="F470" s="13"/>
      <c r="G470" s="144"/>
      <c r="H470" s="13"/>
      <c r="I470" s="13"/>
      <c r="J470" s="13"/>
      <c r="K470" s="13"/>
      <c r="L470" s="13"/>
      <c r="M470" s="13"/>
      <c r="N470" s="146"/>
      <c r="O470" s="13"/>
      <c r="P470" s="146"/>
      <c r="R470" s="129"/>
      <c r="T470" s="13"/>
    </row>
    <row r="471" spans="1:20" ht="12.75" customHeight="1" x14ac:dyDescent="0.2">
      <c r="A471" s="134"/>
      <c r="B471" s="145"/>
      <c r="C471" s="145"/>
      <c r="D471" s="145"/>
      <c r="E471" s="13"/>
      <c r="F471" s="13"/>
      <c r="G471" s="144"/>
      <c r="H471" s="13"/>
      <c r="I471" s="13"/>
      <c r="J471" s="13"/>
      <c r="K471" s="13"/>
      <c r="L471" s="13"/>
      <c r="M471" s="13"/>
      <c r="N471" s="146"/>
      <c r="O471" s="13"/>
      <c r="P471" s="146"/>
      <c r="R471" s="129"/>
      <c r="T471" s="13"/>
    </row>
    <row r="472" spans="1:20" ht="12.75" customHeight="1" x14ac:dyDescent="0.2">
      <c r="A472" s="134"/>
      <c r="B472" s="145"/>
      <c r="C472" s="145"/>
      <c r="D472" s="145"/>
      <c r="E472" s="13"/>
      <c r="F472" s="13"/>
      <c r="G472" s="144"/>
      <c r="H472" s="13"/>
      <c r="I472" s="13"/>
      <c r="J472" s="13"/>
      <c r="K472" s="13"/>
      <c r="L472" s="13"/>
      <c r="M472" s="13"/>
      <c r="N472" s="146"/>
      <c r="O472" s="13"/>
      <c r="P472" s="146"/>
      <c r="R472" s="129"/>
      <c r="T472" s="13"/>
    </row>
    <row r="473" spans="1:20" ht="12.75" customHeight="1" x14ac:dyDescent="0.2">
      <c r="A473" s="134"/>
      <c r="B473" s="145"/>
      <c r="C473" s="145"/>
      <c r="D473" s="145"/>
      <c r="E473" s="13"/>
      <c r="F473" s="13"/>
      <c r="G473" s="144"/>
      <c r="H473" s="13"/>
      <c r="I473" s="13"/>
      <c r="J473" s="13"/>
      <c r="K473" s="13"/>
      <c r="L473" s="13"/>
      <c r="M473" s="13"/>
      <c r="N473" s="146"/>
      <c r="O473" s="13"/>
      <c r="P473" s="146"/>
      <c r="R473" s="129"/>
      <c r="T473" s="13"/>
    </row>
    <row r="474" spans="1:20" ht="12.75" customHeight="1" x14ac:dyDescent="0.2">
      <c r="A474" s="134"/>
      <c r="B474" s="145"/>
      <c r="C474" s="145"/>
      <c r="D474" s="145"/>
      <c r="E474" s="13"/>
      <c r="F474" s="13"/>
      <c r="G474" s="144"/>
      <c r="H474" s="13"/>
      <c r="I474" s="13"/>
      <c r="J474" s="13"/>
      <c r="K474" s="13"/>
      <c r="L474" s="13"/>
      <c r="M474" s="13"/>
      <c r="N474" s="146"/>
      <c r="O474" s="13"/>
      <c r="P474" s="146"/>
      <c r="R474" s="129"/>
      <c r="T474" s="13"/>
    </row>
    <row r="475" spans="1:20" ht="12.75" customHeight="1" x14ac:dyDescent="0.2">
      <c r="A475" s="134"/>
      <c r="B475" s="145"/>
      <c r="C475" s="145"/>
      <c r="D475" s="145"/>
      <c r="E475" s="13"/>
      <c r="F475" s="13"/>
      <c r="G475" s="144"/>
      <c r="H475" s="13"/>
      <c r="I475" s="13"/>
      <c r="J475" s="13"/>
      <c r="K475" s="13"/>
      <c r="L475" s="13"/>
      <c r="M475" s="13"/>
      <c r="N475" s="146"/>
      <c r="O475" s="13"/>
      <c r="P475" s="146"/>
      <c r="R475" s="129"/>
      <c r="T475" s="13"/>
    </row>
    <row r="476" spans="1:20" ht="12.75" customHeight="1" x14ac:dyDescent="0.2">
      <c r="A476" s="134"/>
      <c r="B476" s="145"/>
      <c r="C476" s="145"/>
      <c r="D476" s="145"/>
      <c r="E476" s="13"/>
      <c r="F476" s="13"/>
      <c r="G476" s="144"/>
      <c r="H476" s="13"/>
      <c r="I476" s="13"/>
      <c r="J476" s="13"/>
      <c r="K476" s="13"/>
      <c r="L476" s="13"/>
      <c r="M476" s="13"/>
      <c r="N476" s="146"/>
      <c r="O476" s="13"/>
      <c r="P476" s="146"/>
      <c r="R476" s="129"/>
      <c r="T476" s="13"/>
    </row>
    <row r="477" spans="1:20" ht="12.75" customHeight="1" x14ac:dyDescent="0.2">
      <c r="A477" s="134"/>
      <c r="B477" s="145"/>
      <c r="C477" s="145"/>
      <c r="D477" s="145"/>
      <c r="E477" s="13"/>
      <c r="F477" s="13"/>
      <c r="G477" s="144"/>
      <c r="H477" s="13"/>
      <c r="I477" s="13"/>
      <c r="J477" s="13"/>
      <c r="K477" s="13"/>
      <c r="L477" s="13"/>
      <c r="M477" s="13"/>
      <c r="N477" s="146"/>
      <c r="O477" s="13"/>
      <c r="P477" s="146"/>
      <c r="R477" s="129"/>
      <c r="T477" s="13"/>
    </row>
    <row r="478" spans="1:20" ht="12.75" customHeight="1" x14ac:dyDescent="0.2">
      <c r="A478" s="134"/>
      <c r="B478" s="145"/>
      <c r="C478" s="145"/>
      <c r="D478" s="145"/>
      <c r="E478" s="13"/>
      <c r="F478" s="13"/>
      <c r="G478" s="144"/>
      <c r="H478" s="13"/>
      <c r="I478" s="13"/>
      <c r="J478" s="13"/>
      <c r="K478" s="13"/>
      <c r="L478" s="13"/>
      <c r="M478" s="13"/>
      <c r="N478" s="146"/>
      <c r="O478" s="13"/>
      <c r="P478" s="146"/>
      <c r="R478" s="129"/>
      <c r="T478" s="13"/>
    </row>
    <row r="479" spans="1:20" ht="12.75" customHeight="1" x14ac:dyDescent="0.2">
      <c r="A479" s="134"/>
      <c r="B479" s="145"/>
      <c r="C479" s="145"/>
      <c r="D479" s="145"/>
      <c r="E479" s="13"/>
      <c r="F479" s="13"/>
      <c r="G479" s="144"/>
      <c r="H479" s="13"/>
      <c r="I479" s="13"/>
      <c r="J479" s="13"/>
      <c r="K479" s="13"/>
      <c r="L479" s="13"/>
      <c r="M479" s="13"/>
      <c r="N479" s="146"/>
      <c r="O479" s="13"/>
      <c r="P479" s="146"/>
      <c r="R479" s="129"/>
      <c r="T479" s="13"/>
    </row>
    <row r="480" spans="1:20" ht="12.75" customHeight="1" x14ac:dyDescent="0.2">
      <c r="A480" s="134"/>
      <c r="B480" s="145"/>
      <c r="C480" s="145"/>
      <c r="D480" s="145"/>
      <c r="E480" s="13"/>
      <c r="F480" s="13"/>
      <c r="G480" s="144"/>
      <c r="H480" s="13"/>
      <c r="I480" s="13"/>
      <c r="J480" s="13"/>
      <c r="K480" s="13"/>
      <c r="L480" s="13"/>
      <c r="M480" s="13"/>
      <c r="N480" s="146"/>
      <c r="O480" s="13"/>
      <c r="P480" s="146"/>
      <c r="R480" s="129"/>
      <c r="T480" s="13"/>
    </row>
    <row r="481" spans="1:20" ht="12.75" customHeight="1" x14ac:dyDescent="0.2">
      <c r="A481" s="134"/>
      <c r="B481" s="145"/>
      <c r="C481" s="145"/>
      <c r="D481" s="145"/>
      <c r="E481" s="13"/>
      <c r="F481" s="13"/>
      <c r="G481" s="144"/>
      <c r="H481" s="13"/>
      <c r="I481" s="13"/>
      <c r="J481" s="13"/>
      <c r="K481" s="13"/>
      <c r="L481" s="13"/>
      <c r="M481" s="13"/>
      <c r="N481" s="146"/>
      <c r="O481" s="13"/>
      <c r="P481" s="146"/>
      <c r="R481" s="129"/>
      <c r="T481" s="13"/>
    </row>
    <row r="482" spans="1:20" ht="12.75" customHeight="1" x14ac:dyDescent="0.2">
      <c r="A482" s="134"/>
      <c r="B482" s="145"/>
      <c r="C482" s="145"/>
      <c r="D482" s="145"/>
      <c r="E482" s="13"/>
      <c r="F482" s="13"/>
      <c r="G482" s="144"/>
      <c r="H482" s="13"/>
      <c r="I482" s="13"/>
      <c r="J482" s="13"/>
      <c r="K482" s="13"/>
      <c r="L482" s="13"/>
      <c r="M482" s="13"/>
      <c r="N482" s="146"/>
      <c r="O482" s="13"/>
      <c r="P482" s="146"/>
      <c r="R482" s="129"/>
      <c r="T482" s="13"/>
    </row>
    <row r="483" spans="1:20" ht="12.75" customHeight="1" x14ac:dyDescent="0.2">
      <c r="A483" s="134"/>
      <c r="B483" s="145"/>
      <c r="C483" s="145"/>
      <c r="D483" s="145"/>
      <c r="E483" s="13"/>
      <c r="F483" s="13"/>
      <c r="G483" s="144"/>
      <c r="H483" s="13"/>
      <c r="I483" s="13"/>
      <c r="J483" s="13"/>
      <c r="K483" s="13"/>
      <c r="L483" s="13"/>
      <c r="M483" s="13"/>
      <c r="N483" s="146"/>
      <c r="O483" s="13"/>
      <c r="P483" s="146"/>
      <c r="R483" s="129"/>
      <c r="T483" s="13"/>
    </row>
    <row r="484" spans="1:20" ht="12.75" customHeight="1" x14ac:dyDescent="0.2">
      <c r="A484" s="134"/>
      <c r="B484" s="145"/>
      <c r="C484" s="145"/>
      <c r="D484" s="145"/>
      <c r="E484" s="13"/>
      <c r="F484" s="13"/>
      <c r="G484" s="144"/>
      <c r="H484" s="13"/>
      <c r="I484" s="13"/>
      <c r="J484" s="13"/>
      <c r="K484" s="13"/>
      <c r="L484" s="13"/>
      <c r="M484" s="13"/>
      <c r="N484" s="146"/>
      <c r="O484" s="13"/>
      <c r="P484" s="146"/>
      <c r="R484" s="129"/>
      <c r="T484" s="13"/>
    </row>
    <row r="485" spans="1:20" ht="12.75" customHeight="1" x14ac:dyDescent="0.2">
      <c r="A485" s="134"/>
      <c r="B485" s="145"/>
      <c r="C485" s="145"/>
      <c r="D485" s="145"/>
      <c r="E485" s="13"/>
      <c r="F485" s="13"/>
      <c r="G485" s="144"/>
      <c r="H485" s="13"/>
      <c r="I485" s="13"/>
      <c r="J485" s="13"/>
      <c r="K485" s="13"/>
      <c r="L485" s="13"/>
      <c r="M485" s="13"/>
      <c r="N485" s="146"/>
      <c r="O485" s="13"/>
      <c r="P485" s="146"/>
      <c r="R485" s="129"/>
      <c r="T485" s="13"/>
    </row>
    <row r="486" spans="1:20" ht="12.75" customHeight="1" x14ac:dyDescent="0.2">
      <c r="A486" s="134"/>
      <c r="B486" s="145"/>
      <c r="C486" s="145"/>
      <c r="D486" s="145"/>
      <c r="E486" s="13"/>
      <c r="F486" s="13"/>
      <c r="G486" s="144"/>
      <c r="H486" s="13"/>
      <c r="I486" s="13"/>
      <c r="J486" s="13"/>
      <c r="K486" s="13"/>
      <c r="L486" s="13"/>
      <c r="M486" s="13"/>
      <c r="N486" s="146"/>
      <c r="O486" s="13"/>
      <c r="P486" s="146"/>
      <c r="R486" s="129"/>
      <c r="T486" s="13"/>
    </row>
    <row r="487" spans="1:20" ht="12.75" customHeight="1" x14ac:dyDescent="0.2">
      <c r="A487" s="134"/>
      <c r="B487" s="145"/>
      <c r="C487" s="145"/>
      <c r="D487" s="145"/>
      <c r="E487" s="13"/>
      <c r="F487" s="13"/>
      <c r="G487" s="144"/>
      <c r="H487" s="13"/>
      <c r="I487" s="13"/>
      <c r="J487" s="13"/>
      <c r="K487" s="13"/>
      <c r="L487" s="13"/>
      <c r="M487" s="13"/>
      <c r="N487" s="146"/>
      <c r="O487" s="13"/>
      <c r="P487" s="146"/>
      <c r="R487" s="129"/>
      <c r="T487" s="13"/>
    </row>
    <row r="488" spans="1:20" ht="12.75" customHeight="1" x14ac:dyDescent="0.2">
      <c r="A488" s="134"/>
      <c r="B488" s="145"/>
      <c r="C488" s="145"/>
      <c r="D488" s="145"/>
      <c r="E488" s="13"/>
      <c r="F488" s="13"/>
      <c r="G488" s="144"/>
      <c r="H488" s="13"/>
      <c r="I488" s="13"/>
      <c r="J488" s="13"/>
      <c r="K488" s="13"/>
      <c r="L488" s="13"/>
      <c r="M488" s="13"/>
      <c r="N488" s="146"/>
      <c r="O488" s="13"/>
      <c r="P488" s="146"/>
      <c r="R488" s="129"/>
      <c r="T488" s="13"/>
    </row>
    <row r="489" spans="1:20" ht="12.75" customHeight="1" x14ac:dyDescent="0.2">
      <c r="A489" s="134"/>
      <c r="B489" s="145"/>
      <c r="C489" s="145"/>
      <c r="D489" s="145"/>
      <c r="E489" s="13"/>
      <c r="F489" s="13"/>
      <c r="G489" s="144"/>
      <c r="H489" s="13"/>
      <c r="I489" s="13"/>
      <c r="J489" s="13"/>
      <c r="K489" s="13"/>
      <c r="L489" s="13"/>
      <c r="M489" s="13"/>
      <c r="N489" s="146"/>
      <c r="O489" s="13"/>
      <c r="P489" s="146"/>
      <c r="R489" s="129"/>
      <c r="T489" s="13"/>
    </row>
    <row r="490" spans="1:20" ht="12.75" customHeight="1" x14ac:dyDescent="0.2">
      <c r="A490" s="134"/>
      <c r="B490" s="145"/>
      <c r="C490" s="145"/>
      <c r="D490" s="145"/>
      <c r="E490" s="13"/>
      <c r="F490" s="13"/>
      <c r="G490" s="144"/>
      <c r="H490" s="13"/>
      <c r="I490" s="13"/>
      <c r="J490" s="13"/>
      <c r="K490" s="13"/>
      <c r="L490" s="13"/>
      <c r="M490" s="13"/>
      <c r="N490" s="146"/>
      <c r="O490" s="13"/>
      <c r="P490" s="146"/>
      <c r="R490" s="129"/>
      <c r="T490" s="13"/>
    </row>
    <row r="491" spans="1:20" ht="12.75" customHeight="1" x14ac:dyDescent="0.2">
      <c r="A491" s="134"/>
      <c r="B491" s="145"/>
      <c r="C491" s="145"/>
      <c r="D491" s="145"/>
      <c r="E491" s="13"/>
      <c r="F491" s="13"/>
      <c r="G491" s="144"/>
      <c r="H491" s="13"/>
      <c r="I491" s="13"/>
      <c r="J491" s="13"/>
      <c r="K491" s="13"/>
      <c r="L491" s="13"/>
      <c r="M491" s="13"/>
      <c r="N491" s="146"/>
      <c r="O491" s="13"/>
      <c r="P491" s="146"/>
      <c r="R491" s="129"/>
      <c r="T491" s="13"/>
    </row>
    <row r="492" spans="1:20" ht="12.75" customHeight="1" x14ac:dyDescent="0.2">
      <c r="A492" s="134"/>
      <c r="B492" s="145"/>
      <c r="C492" s="145"/>
      <c r="D492" s="145"/>
      <c r="E492" s="13"/>
      <c r="F492" s="13"/>
      <c r="G492" s="144"/>
      <c r="H492" s="13"/>
      <c r="I492" s="13"/>
      <c r="J492" s="13"/>
      <c r="K492" s="13"/>
      <c r="L492" s="13"/>
      <c r="M492" s="13"/>
      <c r="N492" s="146"/>
      <c r="O492" s="13"/>
      <c r="P492" s="146"/>
      <c r="R492" s="129"/>
      <c r="T492" s="13"/>
    </row>
    <row r="493" spans="1:20" ht="12.75" customHeight="1" x14ac:dyDescent="0.2">
      <c r="A493" s="134"/>
      <c r="B493" s="145"/>
      <c r="C493" s="145"/>
      <c r="D493" s="145"/>
      <c r="E493" s="13"/>
      <c r="F493" s="13"/>
      <c r="G493" s="144"/>
      <c r="H493" s="13"/>
      <c r="I493" s="13"/>
      <c r="J493" s="13"/>
      <c r="K493" s="13"/>
      <c r="L493" s="13"/>
      <c r="M493" s="13"/>
      <c r="N493" s="146"/>
      <c r="O493" s="13"/>
      <c r="P493" s="146"/>
      <c r="R493" s="129"/>
      <c r="T493" s="13"/>
    </row>
    <row r="494" spans="1:20" ht="12.75" customHeight="1" x14ac:dyDescent="0.2">
      <c r="A494" s="134"/>
      <c r="B494" s="145"/>
      <c r="C494" s="145"/>
      <c r="D494" s="145"/>
      <c r="E494" s="13"/>
      <c r="F494" s="13"/>
      <c r="G494" s="144"/>
      <c r="H494" s="13"/>
      <c r="I494" s="13"/>
      <c r="J494" s="13"/>
      <c r="K494" s="13"/>
      <c r="L494" s="13"/>
      <c r="M494" s="13"/>
      <c r="N494" s="146"/>
      <c r="O494" s="13"/>
      <c r="P494" s="146"/>
      <c r="R494" s="129"/>
      <c r="T494" s="13"/>
    </row>
    <row r="495" spans="1:20" ht="12.75" customHeight="1" x14ac:dyDescent="0.2">
      <c r="A495" s="134"/>
      <c r="B495" s="145"/>
      <c r="C495" s="145"/>
      <c r="D495" s="145"/>
      <c r="E495" s="13"/>
      <c r="F495" s="13"/>
      <c r="G495" s="144"/>
      <c r="H495" s="13"/>
      <c r="I495" s="13"/>
      <c r="J495" s="13"/>
      <c r="K495" s="13"/>
      <c r="L495" s="13"/>
      <c r="M495" s="13"/>
      <c r="N495" s="146"/>
      <c r="O495" s="13"/>
      <c r="P495" s="146"/>
      <c r="R495" s="129"/>
      <c r="T495" s="13"/>
    </row>
    <row r="496" spans="1:20" ht="12.75" customHeight="1" x14ac:dyDescent="0.2">
      <c r="A496" s="134"/>
      <c r="B496" s="145"/>
      <c r="C496" s="145"/>
      <c r="D496" s="145"/>
      <c r="E496" s="13"/>
      <c r="F496" s="13"/>
      <c r="G496" s="144"/>
      <c r="H496" s="13"/>
      <c r="I496" s="13"/>
      <c r="J496" s="13"/>
      <c r="K496" s="13"/>
      <c r="L496" s="13"/>
      <c r="M496" s="13"/>
      <c r="N496" s="146"/>
      <c r="O496" s="13"/>
      <c r="P496" s="146"/>
      <c r="R496" s="129"/>
      <c r="T496" s="13"/>
    </row>
    <row r="497" spans="1:20" ht="12.75" customHeight="1" x14ac:dyDescent="0.2">
      <c r="A497" s="134"/>
      <c r="B497" s="145"/>
      <c r="C497" s="145"/>
      <c r="D497" s="145"/>
      <c r="E497" s="13"/>
      <c r="F497" s="13"/>
      <c r="G497" s="144"/>
      <c r="H497" s="13"/>
      <c r="I497" s="13"/>
      <c r="J497" s="13"/>
      <c r="K497" s="13"/>
      <c r="L497" s="13"/>
      <c r="M497" s="13"/>
      <c r="N497" s="146"/>
      <c r="O497" s="13"/>
      <c r="P497" s="146"/>
      <c r="R497" s="129"/>
      <c r="T497" s="13"/>
    </row>
    <row r="498" spans="1:20" ht="12.75" customHeight="1" x14ac:dyDescent="0.2">
      <c r="A498" s="134"/>
      <c r="B498" s="145"/>
      <c r="C498" s="145"/>
      <c r="D498" s="145"/>
      <c r="E498" s="13"/>
      <c r="F498" s="13"/>
      <c r="G498" s="144"/>
      <c r="H498" s="13"/>
      <c r="I498" s="13"/>
      <c r="J498" s="13"/>
      <c r="K498" s="13"/>
      <c r="L498" s="13"/>
      <c r="M498" s="13"/>
      <c r="N498" s="146"/>
      <c r="O498" s="13"/>
      <c r="P498" s="146"/>
      <c r="R498" s="129"/>
      <c r="T498" s="13"/>
    </row>
    <row r="499" spans="1:20" ht="12.75" customHeight="1" x14ac:dyDescent="0.2">
      <c r="A499" s="134"/>
      <c r="B499" s="145"/>
      <c r="C499" s="145"/>
      <c r="D499" s="145"/>
      <c r="E499" s="13"/>
      <c r="F499" s="13"/>
      <c r="G499" s="144"/>
      <c r="H499" s="13"/>
      <c r="I499" s="13"/>
      <c r="J499" s="13"/>
      <c r="K499" s="13"/>
      <c r="L499" s="13"/>
      <c r="M499" s="13"/>
      <c r="N499" s="146"/>
      <c r="O499" s="13"/>
      <c r="P499" s="146"/>
      <c r="R499" s="129"/>
      <c r="T499" s="13"/>
    </row>
    <row r="500" spans="1:20" ht="12.75" customHeight="1" x14ac:dyDescent="0.2">
      <c r="A500" s="134"/>
      <c r="B500" s="145"/>
      <c r="C500" s="145"/>
      <c r="D500" s="145"/>
      <c r="E500" s="13"/>
      <c r="F500" s="13"/>
      <c r="G500" s="144"/>
      <c r="H500" s="13"/>
      <c r="I500" s="13"/>
      <c r="J500" s="13"/>
      <c r="K500" s="13"/>
      <c r="L500" s="13"/>
      <c r="M500" s="13"/>
      <c r="N500" s="146"/>
      <c r="O500" s="13"/>
      <c r="P500" s="146"/>
      <c r="R500" s="129"/>
      <c r="T500" s="13"/>
    </row>
    <row r="501" spans="1:20" ht="12.75" customHeight="1" x14ac:dyDescent="0.2">
      <c r="A501" s="134"/>
      <c r="B501" s="145"/>
      <c r="C501" s="145"/>
      <c r="D501" s="145"/>
      <c r="E501" s="13"/>
      <c r="F501" s="13"/>
      <c r="G501" s="144"/>
      <c r="H501" s="13"/>
      <c r="I501" s="13"/>
      <c r="J501" s="13"/>
      <c r="K501" s="13"/>
      <c r="L501" s="13"/>
      <c r="M501" s="13"/>
      <c r="N501" s="146"/>
      <c r="O501" s="13"/>
      <c r="P501" s="146"/>
      <c r="R501" s="129"/>
      <c r="T501" s="13"/>
    </row>
    <row r="502" spans="1:20" ht="12.75" customHeight="1" x14ac:dyDescent="0.2">
      <c r="A502" s="134"/>
      <c r="B502" s="145"/>
      <c r="C502" s="145"/>
      <c r="D502" s="145"/>
      <c r="E502" s="13"/>
      <c r="F502" s="13"/>
      <c r="G502" s="144"/>
      <c r="H502" s="13"/>
      <c r="I502" s="13"/>
      <c r="J502" s="13"/>
      <c r="K502" s="13"/>
      <c r="L502" s="13"/>
      <c r="M502" s="13"/>
      <c r="N502" s="146"/>
      <c r="O502" s="13"/>
      <c r="P502" s="146"/>
      <c r="R502" s="129"/>
      <c r="T502" s="13"/>
    </row>
    <row r="503" spans="1:20" ht="12.75" customHeight="1" x14ac:dyDescent="0.2">
      <c r="A503" s="134"/>
      <c r="B503" s="145"/>
      <c r="C503" s="145"/>
      <c r="D503" s="145"/>
      <c r="E503" s="13"/>
      <c r="F503" s="13"/>
      <c r="G503" s="144"/>
      <c r="H503" s="13"/>
      <c r="I503" s="13"/>
      <c r="J503" s="13"/>
      <c r="K503" s="13"/>
      <c r="L503" s="13"/>
      <c r="M503" s="13"/>
      <c r="N503" s="146"/>
      <c r="O503" s="13"/>
      <c r="P503" s="146"/>
      <c r="R503" s="129"/>
      <c r="T503" s="13"/>
    </row>
    <row r="504" spans="1:20" ht="12.75" customHeight="1" x14ac:dyDescent="0.2">
      <c r="A504" s="134"/>
      <c r="B504" s="145"/>
      <c r="C504" s="145"/>
      <c r="D504" s="145"/>
      <c r="E504" s="13"/>
      <c r="F504" s="13"/>
      <c r="G504" s="144"/>
      <c r="H504" s="13"/>
      <c r="I504" s="13"/>
      <c r="J504" s="13"/>
      <c r="K504" s="13"/>
      <c r="L504" s="13"/>
      <c r="M504" s="13"/>
      <c r="N504" s="146"/>
      <c r="O504" s="13"/>
      <c r="P504" s="146"/>
      <c r="R504" s="129"/>
      <c r="T504" s="13"/>
    </row>
    <row r="505" spans="1:20" ht="12.75" customHeight="1" x14ac:dyDescent="0.2">
      <c r="A505" s="134"/>
      <c r="B505" s="145"/>
      <c r="C505" s="145"/>
      <c r="D505" s="145"/>
      <c r="E505" s="13"/>
      <c r="F505" s="13"/>
      <c r="G505" s="144"/>
      <c r="H505" s="13"/>
      <c r="I505" s="13"/>
      <c r="J505" s="13"/>
      <c r="K505" s="13"/>
      <c r="L505" s="13"/>
      <c r="M505" s="13"/>
      <c r="N505" s="146"/>
      <c r="O505" s="13"/>
      <c r="P505" s="146"/>
      <c r="R505" s="129"/>
      <c r="T505" s="13"/>
    </row>
    <row r="506" spans="1:20" ht="12.75" customHeight="1" x14ac:dyDescent="0.2">
      <c r="A506" s="134"/>
      <c r="B506" s="145"/>
      <c r="C506" s="145"/>
      <c r="D506" s="145"/>
      <c r="E506" s="13"/>
      <c r="F506" s="13"/>
      <c r="G506" s="144"/>
      <c r="H506" s="13"/>
      <c r="I506" s="13"/>
      <c r="J506" s="13"/>
      <c r="K506" s="13"/>
      <c r="L506" s="13"/>
      <c r="M506" s="13"/>
      <c r="N506" s="146"/>
      <c r="O506" s="13"/>
      <c r="P506" s="146"/>
      <c r="R506" s="129"/>
      <c r="T506" s="13"/>
    </row>
    <row r="507" spans="1:20" ht="12.75" customHeight="1" x14ac:dyDescent="0.2">
      <c r="A507" s="134"/>
      <c r="B507" s="145"/>
      <c r="C507" s="145"/>
      <c r="D507" s="145"/>
      <c r="E507" s="13"/>
      <c r="F507" s="13"/>
      <c r="G507" s="144"/>
      <c r="H507" s="13"/>
      <c r="I507" s="13"/>
      <c r="J507" s="13"/>
      <c r="K507" s="13"/>
      <c r="L507" s="13"/>
      <c r="M507" s="13"/>
      <c r="N507" s="146"/>
      <c r="O507" s="13"/>
      <c r="P507" s="146"/>
      <c r="R507" s="129"/>
      <c r="T507" s="13"/>
    </row>
    <row r="508" spans="1:20" ht="12.75" customHeight="1" x14ac:dyDescent="0.2">
      <c r="A508" s="134"/>
      <c r="B508" s="145"/>
      <c r="C508" s="145"/>
      <c r="D508" s="145"/>
      <c r="E508" s="13"/>
      <c r="F508" s="13"/>
      <c r="G508" s="144"/>
      <c r="H508" s="13"/>
      <c r="I508" s="13"/>
      <c r="J508" s="13"/>
      <c r="K508" s="13"/>
      <c r="L508" s="13"/>
      <c r="M508" s="13"/>
      <c r="N508" s="146"/>
      <c r="O508" s="13"/>
      <c r="P508" s="146"/>
      <c r="R508" s="129"/>
      <c r="T508" s="13"/>
    </row>
    <row r="509" spans="1:20" ht="12.75" customHeight="1" x14ac:dyDescent="0.2">
      <c r="A509" s="134"/>
      <c r="B509" s="145"/>
      <c r="C509" s="145"/>
      <c r="D509" s="145"/>
      <c r="E509" s="13"/>
      <c r="F509" s="13"/>
      <c r="G509" s="144"/>
      <c r="H509" s="13"/>
      <c r="I509" s="13"/>
      <c r="J509" s="13"/>
      <c r="K509" s="13"/>
      <c r="L509" s="13"/>
      <c r="M509" s="13"/>
      <c r="N509" s="146"/>
      <c r="O509" s="13"/>
      <c r="P509" s="146"/>
      <c r="R509" s="129"/>
      <c r="T509" s="13"/>
    </row>
    <row r="510" spans="1:20" ht="12.75" customHeight="1" x14ac:dyDescent="0.2">
      <c r="A510" s="134"/>
      <c r="B510" s="145"/>
      <c r="C510" s="145"/>
      <c r="D510" s="145"/>
      <c r="E510" s="13"/>
      <c r="F510" s="13"/>
      <c r="G510" s="144"/>
      <c r="H510" s="13"/>
      <c r="I510" s="13"/>
      <c r="J510" s="13"/>
      <c r="K510" s="13"/>
      <c r="L510" s="13"/>
      <c r="M510" s="13"/>
      <c r="N510" s="146"/>
      <c r="O510" s="13"/>
      <c r="P510" s="146"/>
      <c r="R510" s="129"/>
      <c r="T510" s="13"/>
    </row>
    <row r="511" spans="1:20" ht="12.75" customHeight="1" x14ac:dyDescent="0.2">
      <c r="A511" s="134"/>
      <c r="B511" s="145"/>
      <c r="C511" s="145"/>
      <c r="D511" s="145"/>
      <c r="E511" s="13"/>
      <c r="F511" s="13"/>
      <c r="G511" s="144"/>
      <c r="H511" s="13"/>
      <c r="I511" s="13"/>
      <c r="J511" s="13"/>
      <c r="K511" s="13"/>
      <c r="L511" s="13"/>
      <c r="M511" s="13"/>
      <c r="N511" s="146"/>
      <c r="O511" s="13"/>
      <c r="P511" s="146"/>
      <c r="R511" s="129"/>
      <c r="T511" s="13"/>
    </row>
    <row r="512" spans="1:20" ht="12.75" customHeight="1" x14ac:dyDescent="0.2">
      <c r="A512" s="134"/>
      <c r="B512" s="145"/>
      <c r="C512" s="145"/>
      <c r="D512" s="145"/>
      <c r="E512" s="13"/>
      <c r="F512" s="13"/>
      <c r="G512" s="144"/>
      <c r="H512" s="13"/>
      <c r="I512" s="13"/>
      <c r="J512" s="13"/>
      <c r="K512" s="13"/>
      <c r="L512" s="13"/>
      <c r="M512" s="13"/>
      <c r="N512" s="146"/>
      <c r="O512" s="13"/>
      <c r="P512" s="146"/>
      <c r="R512" s="129"/>
      <c r="T512" s="13"/>
    </row>
    <row r="513" spans="1:20" ht="12.75" customHeight="1" x14ac:dyDescent="0.2">
      <c r="A513" s="134"/>
      <c r="B513" s="145"/>
      <c r="C513" s="145"/>
      <c r="D513" s="145"/>
      <c r="E513" s="13"/>
      <c r="F513" s="13"/>
      <c r="G513" s="144"/>
      <c r="H513" s="13"/>
      <c r="I513" s="13"/>
      <c r="J513" s="13"/>
      <c r="K513" s="13"/>
      <c r="L513" s="13"/>
      <c r="M513" s="13"/>
      <c r="N513" s="146"/>
      <c r="O513" s="13"/>
      <c r="P513" s="146"/>
      <c r="R513" s="129"/>
      <c r="T513" s="13"/>
    </row>
    <row r="514" spans="1:20" ht="12.75" customHeight="1" x14ac:dyDescent="0.2">
      <c r="A514" s="134"/>
      <c r="B514" s="145"/>
      <c r="C514" s="145"/>
      <c r="D514" s="145"/>
      <c r="E514" s="13"/>
      <c r="F514" s="13"/>
      <c r="G514" s="144"/>
      <c r="H514" s="13"/>
      <c r="I514" s="13"/>
      <c r="J514" s="13"/>
      <c r="K514" s="13"/>
      <c r="L514" s="13"/>
      <c r="M514" s="13"/>
      <c r="N514" s="146"/>
      <c r="O514" s="13"/>
      <c r="P514" s="146"/>
      <c r="R514" s="129"/>
      <c r="T514" s="13"/>
    </row>
    <row r="515" spans="1:20" ht="12.75" customHeight="1" x14ac:dyDescent="0.2">
      <c r="A515" s="134"/>
      <c r="B515" s="145"/>
      <c r="C515" s="145"/>
      <c r="D515" s="145"/>
      <c r="E515" s="13"/>
      <c r="F515" s="13"/>
      <c r="G515" s="144"/>
      <c r="H515" s="13"/>
      <c r="I515" s="13"/>
      <c r="J515" s="13"/>
      <c r="K515" s="13"/>
      <c r="L515" s="13"/>
      <c r="M515" s="13"/>
      <c r="N515" s="146"/>
      <c r="O515" s="13"/>
      <c r="P515" s="146"/>
      <c r="R515" s="129"/>
      <c r="T515" s="13"/>
    </row>
    <row r="516" spans="1:20" ht="12.75" customHeight="1" x14ac:dyDescent="0.2">
      <c r="A516" s="134"/>
      <c r="B516" s="145"/>
      <c r="C516" s="145"/>
      <c r="D516" s="145"/>
      <c r="E516" s="13"/>
      <c r="F516" s="13"/>
      <c r="G516" s="144"/>
      <c r="H516" s="13"/>
      <c r="I516" s="13"/>
      <c r="J516" s="13"/>
      <c r="K516" s="13"/>
      <c r="L516" s="13"/>
      <c r="M516" s="13"/>
      <c r="N516" s="146"/>
      <c r="O516" s="13"/>
      <c r="P516" s="146"/>
      <c r="R516" s="129"/>
      <c r="T516" s="13"/>
    </row>
    <row r="517" spans="1:20" ht="12.75" customHeight="1" x14ac:dyDescent="0.2">
      <c r="A517" s="134"/>
      <c r="B517" s="145"/>
      <c r="C517" s="145"/>
      <c r="D517" s="145"/>
      <c r="E517" s="13"/>
      <c r="F517" s="13"/>
      <c r="G517" s="144"/>
      <c r="H517" s="13"/>
      <c r="I517" s="13"/>
      <c r="J517" s="13"/>
      <c r="K517" s="13"/>
      <c r="L517" s="13"/>
      <c r="M517" s="13"/>
      <c r="N517" s="146"/>
      <c r="O517" s="13"/>
      <c r="P517" s="146"/>
      <c r="R517" s="129"/>
      <c r="T517" s="13"/>
    </row>
    <row r="518" spans="1:20" ht="12.75" customHeight="1" x14ac:dyDescent="0.2">
      <c r="A518" s="134"/>
      <c r="B518" s="145"/>
      <c r="C518" s="145"/>
      <c r="D518" s="145"/>
      <c r="E518" s="13"/>
      <c r="F518" s="13"/>
      <c r="G518" s="144"/>
      <c r="H518" s="13"/>
      <c r="I518" s="13"/>
      <c r="J518" s="13"/>
      <c r="K518" s="13"/>
      <c r="L518" s="13"/>
      <c r="M518" s="13"/>
      <c r="N518" s="146"/>
      <c r="O518" s="13"/>
      <c r="P518" s="146"/>
      <c r="R518" s="129"/>
      <c r="T518" s="13"/>
    </row>
    <row r="519" spans="1:20" ht="12.75" customHeight="1" x14ac:dyDescent="0.2">
      <c r="A519" s="134"/>
      <c r="B519" s="145"/>
      <c r="C519" s="145"/>
      <c r="D519" s="145"/>
      <c r="E519" s="13"/>
      <c r="F519" s="13"/>
      <c r="G519" s="144"/>
      <c r="H519" s="13"/>
      <c r="I519" s="13"/>
      <c r="J519" s="13"/>
      <c r="K519" s="13"/>
      <c r="L519" s="13"/>
      <c r="M519" s="13"/>
      <c r="N519" s="146"/>
      <c r="O519" s="13"/>
      <c r="P519" s="146"/>
      <c r="R519" s="129"/>
      <c r="T519" s="13"/>
    </row>
    <row r="520" spans="1:20" ht="12.75" customHeight="1" x14ac:dyDescent="0.2">
      <c r="A520" s="134"/>
      <c r="B520" s="145"/>
      <c r="C520" s="145"/>
      <c r="D520" s="145"/>
      <c r="E520" s="13"/>
      <c r="F520" s="13"/>
      <c r="G520" s="144"/>
      <c r="H520" s="13"/>
      <c r="I520" s="13"/>
      <c r="J520" s="13"/>
      <c r="K520" s="13"/>
      <c r="L520" s="13"/>
      <c r="M520" s="13"/>
      <c r="N520" s="146"/>
      <c r="O520" s="13"/>
      <c r="P520" s="146"/>
      <c r="R520" s="129"/>
      <c r="T520" s="13"/>
    </row>
    <row r="521" spans="1:20" ht="12.75" customHeight="1" x14ac:dyDescent="0.2">
      <c r="A521" s="134"/>
      <c r="B521" s="145"/>
      <c r="C521" s="145"/>
      <c r="D521" s="145"/>
      <c r="E521" s="13"/>
      <c r="F521" s="13"/>
      <c r="G521" s="144"/>
      <c r="H521" s="13"/>
      <c r="I521" s="13"/>
      <c r="J521" s="13"/>
      <c r="K521" s="13"/>
      <c r="L521" s="13"/>
      <c r="M521" s="13"/>
      <c r="N521" s="146"/>
      <c r="O521" s="13"/>
      <c r="P521" s="146"/>
      <c r="R521" s="129"/>
      <c r="T521" s="13"/>
    </row>
    <row r="522" spans="1:20" ht="12.75" customHeight="1" x14ac:dyDescent="0.2">
      <c r="A522" s="134"/>
      <c r="B522" s="145"/>
      <c r="C522" s="145"/>
      <c r="D522" s="145"/>
      <c r="E522" s="13"/>
      <c r="F522" s="13"/>
      <c r="G522" s="144"/>
      <c r="H522" s="13"/>
      <c r="I522" s="13"/>
      <c r="J522" s="13"/>
      <c r="K522" s="13"/>
      <c r="L522" s="13"/>
      <c r="M522" s="13"/>
      <c r="N522" s="146"/>
      <c r="O522" s="13"/>
      <c r="P522" s="146"/>
      <c r="R522" s="129"/>
      <c r="T522" s="13"/>
    </row>
    <row r="523" spans="1:20" ht="12.75" customHeight="1" x14ac:dyDescent="0.2">
      <c r="A523" s="134"/>
      <c r="B523" s="145"/>
      <c r="C523" s="145"/>
      <c r="D523" s="145"/>
      <c r="E523" s="13"/>
      <c r="F523" s="13"/>
      <c r="G523" s="144"/>
      <c r="H523" s="13"/>
      <c r="I523" s="13"/>
      <c r="J523" s="13"/>
      <c r="K523" s="13"/>
      <c r="L523" s="13"/>
      <c r="M523" s="13"/>
      <c r="N523" s="146"/>
      <c r="O523" s="13"/>
      <c r="P523" s="146"/>
      <c r="R523" s="129"/>
      <c r="T523" s="13"/>
    </row>
    <row r="524" spans="1:20" ht="12.75" customHeight="1" x14ac:dyDescent="0.2">
      <c r="A524" s="134"/>
      <c r="B524" s="145"/>
      <c r="C524" s="145"/>
      <c r="D524" s="145"/>
      <c r="E524" s="13"/>
      <c r="F524" s="13"/>
      <c r="G524" s="144"/>
      <c r="H524" s="13"/>
      <c r="I524" s="13"/>
      <c r="J524" s="13"/>
      <c r="K524" s="13"/>
      <c r="L524" s="13"/>
      <c r="M524" s="13"/>
      <c r="N524" s="146"/>
      <c r="O524" s="13"/>
      <c r="P524" s="146"/>
      <c r="R524" s="129"/>
      <c r="T524" s="13"/>
    </row>
    <row r="525" spans="1:20" ht="12.75" customHeight="1" x14ac:dyDescent="0.2">
      <c r="A525" s="134"/>
      <c r="B525" s="145"/>
      <c r="C525" s="145"/>
      <c r="D525" s="145"/>
      <c r="E525" s="13"/>
      <c r="F525" s="13"/>
      <c r="G525" s="144"/>
      <c r="H525" s="13"/>
      <c r="I525" s="13"/>
      <c r="J525" s="13"/>
      <c r="K525" s="13"/>
      <c r="L525" s="13"/>
      <c r="M525" s="13"/>
      <c r="N525" s="146"/>
      <c r="O525" s="13"/>
      <c r="P525" s="146"/>
      <c r="R525" s="129"/>
      <c r="T525" s="13"/>
    </row>
    <row r="526" spans="1:20" ht="12.75" customHeight="1" x14ac:dyDescent="0.2">
      <c r="A526" s="134"/>
      <c r="B526" s="145"/>
      <c r="C526" s="145"/>
      <c r="D526" s="145"/>
      <c r="E526" s="13"/>
      <c r="F526" s="13"/>
      <c r="G526" s="144"/>
      <c r="H526" s="13"/>
      <c r="I526" s="13"/>
      <c r="J526" s="13"/>
      <c r="K526" s="13"/>
      <c r="L526" s="13"/>
      <c r="M526" s="13"/>
      <c r="N526" s="146"/>
      <c r="O526" s="13"/>
      <c r="P526" s="146"/>
      <c r="R526" s="129"/>
      <c r="T526" s="13"/>
    </row>
    <row r="527" spans="1:20" ht="12.75" customHeight="1" x14ac:dyDescent="0.2">
      <c r="A527" s="134"/>
      <c r="B527" s="145"/>
      <c r="C527" s="145"/>
      <c r="D527" s="145"/>
      <c r="E527" s="13"/>
      <c r="F527" s="13"/>
      <c r="G527" s="144"/>
      <c r="H527" s="13"/>
      <c r="I527" s="13"/>
      <c r="J527" s="13"/>
      <c r="K527" s="13"/>
      <c r="L527" s="13"/>
      <c r="M527" s="13"/>
      <c r="N527" s="146"/>
      <c r="O527" s="13"/>
      <c r="P527" s="146"/>
      <c r="R527" s="129"/>
      <c r="T527" s="13"/>
    </row>
    <row r="528" spans="1:20" ht="12.75" customHeight="1" x14ac:dyDescent="0.2">
      <c r="A528" s="134"/>
      <c r="B528" s="145"/>
      <c r="C528" s="145"/>
      <c r="D528" s="145"/>
      <c r="E528" s="13"/>
      <c r="F528" s="13"/>
      <c r="G528" s="144"/>
      <c r="H528" s="13"/>
      <c r="I528" s="13"/>
      <c r="J528" s="13"/>
      <c r="K528" s="13"/>
      <c r="L528" s="13"/>
      <c r="M528" s="13"/>
      <c r="N528" s="146"/>
      <c r="O528" s="13"/>
      <c r="P528" s="146"/>
      <c r="R528" s="129"/>
      <c r="T528" s="13"/>
    </row>
    <row r="529" spans="1:20" ht="12.75" customHeight="1" x14ac:dyDescent="0.2">
      <c r="A529" s="134"/>
      <c r="B529" s="145"/>
      <c r="C529" s="145"/>
      <c r="D529" s="145"/>
      <c r="E529" s="13"/>
      <c r="F529" s="13"/>
      <c r="G529" s="144"/>
      <c r="H529" s="13"/>
      <c r="I529" s="13"/>
      <c r="J529" s="13"/>
      <c r="K529" s="13"/>
      <c r="L529" s="13"/>
      <c r="M529" s="13"/>
      <c r="N529" s="146"/>
      <c r="O529" s="13"/>
      <c r="P529" s="146"/>
      <c r="R529" s="129"/>
      <c r="T529" s="13"/>
    </row>
    <row r="530" spans="1:20" ht="12.75" customHeight="1" x14ac:dyDescent="0.2">
      <c r="A530" s="134"/>
      <c r="B530" s="145"/>
      <c r="C530" s="145"/>
      <c r="D530" s="145"/>
      <c r="E530" s="13"/>
      <c r="F530" s="13"/>
      <c r="G530" s="144"/>
      <c r="H530" s="13"/>
      <c r="I530" s="13"/>
      <c r="J530" s="13"/>
      <c r="K530" s="13"/>
      <c r="L530" s="13"/>
      <c r="M530" s="13"/>
      <c r="N530" s="146"/>
      <c r="O530" s="13"/>
      <c r="P530" s="146"/>
      <c r="R530" s="129"/>
      <c r="T530" s="13"/>
    </row>
    <row r="531" spans="1:20" ht="12.75" customHeight="1" x14ac:dyDescent="0.2">
      <c r="A531" s="134"/>
      <c r="B531" s="145"/>
      <c r="C531" s="145"/>
      <c r="D531" s="145"/>
      <c r="E531" s="13"/>
      <c r="F531" s="13"/>
      <c r="G531" s="144"/>
      <c r="H531" s="13"/>
      <c r="I531" s="13"/>
      <c r="J531" s="13"/>
      <c r="K531" s="13"/>
      <c r="L531" s="13"/>
      <c r="M531" s="13"/>
      <c r="N531" s="146"/>
      <c r="O531" s="13"/>
      <c r="P531" s="146"/>
      <c r="R531" s="129"/>
      <c r="T531" s="13"/>
    </row>
    <row r="532" spans="1:20" ht="12.75" customHeight="1" x14ac:dyDescent="0.2">
      <c r="A532" s="134"/>
      <c r="B532" s="145"/>
      <c r="C532" s="145"/>
      <c r="D532" s="145"/>
      <c r="E532" s="13"/>
      <c r="F532" s="13"/>
      <c r="G532" s="144"/>
      <c r="H532" s="13"/>
      <c r="I532" s="13"/>
      <c r="J532" s="13"/>
      <c r="K532" s="13"/>
      <c r="L532" s="13"/>
      <c r="M532" s="13"/>
      <c r="N532" s="146"/>
      <c r="O532" s="13"/>
      <c r="P532" s="146"/>
      <c r="R532" s="129"/>
      <c r="T532" s="13"/>
    </row>
    <row r="533" spans="1:20" ht="12.75" customHeight="1" x14ac:dyDescent="0.2">
      <c r="A533" s="134"/>
      <c r="B533" s="145"/>
      <c r="C533" s="145"/>
      <c r="D533" s="145"/>
      <c r="E533" s="13"/>
      <c r="F533" s="13"/>
      <c r="G533" s="144"/>
      <c r="H533" s="13"/>
      <c r="I533" s="13"/>
      <c r="J533" s="13"/>
      <c r="K533" s="13"/>
      <c r="L533" s="13"/>
      <c r="M533" s="13"/>
      <c r="N533" s="146"/>
      <c r="O533" s="13"/>
      <c r="P533" s="146"/>
      <c r="R533" s="129"/>
      <c r="T533" s="13"/>
    </row>
    <row r="534" spans="1:20" ht="12.75" customHeight="1" x14ac:dyDescent="0.2">
      <c r="A534" s="134"/>
      <c r="B534" s="145"/>
      <c r="C534" s="145"/>
      <c r="D534" s="145"/>
      <c r="E534" s="13"/>
      <c r="F534" s="13"/>
      <c r="G534" s="144"/>
      <c r="H534" s="13"/>
      <c r="I534" s="13"/>
      <c r="J534" s="13"/>
      <c r="K534" s="13"/>
      <c r="L534" s="13"/>
      <c r="M534" s="13"/>
      <c r="N534" s="146"/>
      <c r="O534" s="13"/>
      <c r="P534" s="146"/>
      <c r="R534" s="129"/>
      <c r="T534" s="13"/>
    </row>
    <row r="535" spans="1:20" ht="12.75" customHeight="1" x14ac:dyDescent="0.2">
      <c r="A535" s="134"/>
      <c r="B535" s="145"/>
      <c r="C535" s="145"/>
      <c r="D535" s="145"/>
      <c r="E535" s="13"/>
      <c r="F535" s="13"/>
      <c r="G535" s="144"/>
      <c r="H535" s="13"/>
      <c r="I535" s="13"/>
      <c r="J535" s="13"/>
      <c r="K535" s="13"/>
      <c r="L535" s="13"/>
      <c r="M535" s="13"/>
      <c r="N535" s="146"/>
      <c r="O535" s="13"/>
      <c r="P535" s="146"/>
      <c r="R535" s="129"/>
      <c r="T535" s="13"/>
    </row>
    <row r="536" spans="1:20" ht="12.75" customHeight="1" x14ac:dyDescent="0.2">
      <c r="A536" s="134"/>
      <c r="B536" s="145"/>
      <c r="C536" s="145"/>
      <c r="D536" s="145"/>
      <c r="E536" s="13"/>
      <c r="F536" s="13"/>
      <c r="G536" s="144"/>
      <c r="H536" s="13"/>
      <c r="I536" s="13"/>
      <c r="J536" s="13"/>
      <c r="K536" s="13"/>
      <c r="L536" s="13"/>
      <c r="M536" s="13"/>
      <c r="N536" s="146"/>
      <c r="O536" s="13"/>
      <c r="P536" s="146"/>
      <c r="R536" s="129"/>
      <c r="T536" s="13"/>
    </row>
    <row r="537" spans="1:20" ht="12.75" customHeight="1" x14ac:dyDescent="0.2">
      <c r="A537" s="134"/>
      <c r="B537" s="145"/>
      <c r="C537" s="145"/>
      <c r="D537" s="145"/>
      <c r="E537" s="13"/>
      <c r="F537" s="13"/>
      <c r="G537" s="144"/>
      <c r="H537" s="13"/>
      <c r="I537" s="13"/>
      <c r="J537" s="13"/>
      <c r="K537" s="13"/>
      <c r="L537" s="13"/>
      <c r="M537" s="13"/>
      <c r="N537" s="146"/>
      <c r="O537" s="13"/>
      <c r="P537" s="146"/>
      <c r="R537" s="129"/>
      <c r="T537" s="13"/>
    </row>
    <row r="538" spans="1:20" ht="12.75" customHeight="1" x14ac:dyDescent="0.2">
      <c r="A538" s="134"/>
      <c r="B538" s="145"/>
      <c r="C538" s="145"/>
      <c r="D538" s="145"/>
      <c r="E538" s="13"/>
      <c r="F538" s="13"/>
      <c r="G538" s="144"/>
      <c r="H538" s="13"/>
      <c r="I538" s="13"/>
      <c r="J538" s="13"/>
      <c r="K538" s="13"/>
      <c r="L538" s="13"/>
      <c r="M538" s="13"/>
      <c r="N538" s="146"/>
      <c r="O538" s="13"/>
      <c r="P538" s="146"/>
      <c r="R538" s="129"/>
      <c r="T538" s="13"/>
    </row>
    <row r="539" spans="1:20" ht="12.75" customHeight="1" x14ac:dyDescent="0.2">
      <c r="A539" s="134"/>
      <c r="B539" s="145"/>
      <c r="C539" s="145"/>
      <c r="D539" s="145"/>
      <c r="E539" s="13"/>
      <c r="F539" s="13"/>
      <c r="G539" s="144"/>
      <c r="H539" s="13"/>
      <c r="I539" s="13"/>
      <c r="J539" s="13"/>
      <c r="K539" s="13"/>
      <c r="L539" s="13"/>
      <c r="M539" s="13"/>
      <c r="N539" s="146"/>
      <c r="O539" s="13"/>
      <c r="P539" s="146"/>
      <c r="R539" s="129"/>
      <c r="T539" s="13"/>
    </row>
    <row r="540" spans="1:20" ht="12.75" customHeight="1" x14ac:dyDescent="0.2">
      <c r="A540" s="134"/>
      <c r="B540" s="145"/>
      <c r="C540" s="145"/>
      <c r="D540" s="145"/>
      <c r="E540" s="13"/>
      <c r="F540" s="13"/>
      <c r="G540" s="144"/>
      <c r="H540" s="13"/>
      <c r="I540" s="13"/>
      <c r="J540" s="13"/>
      <c r="K540" s="13"/>
      <c r="L540" s="13"/>
      <c r="M540" s="13"/>
      <c r="N540" s="146"/>
      <c r="O540" s="13"/>
      <c r="P540" s="146"/>
      <c r="R540" s="129"/>
      <c r="T540" s="13"/>
    </row>
    <row r="541" spans="1:20" ht="12.75" customHeight="1" x14ac:dyDescent="0.2">
      <c r="A541" s="134"/>
      <c r="B541" s="145"/>
      <c r="C541" s="145"/>
      <c r="D541" s="145"/>
      <c r="E541" s="13"/>
      <c r="F541" s="13"/>
      <c r="G541" s="144"/>
      <c r="H541" s="13"/>
      <c r="I541" s="13"/>
      <c r="J541" s="13"/>
      <c r="K541" s="13"/>
      <c r="L541" s="13"/>
      <c r="M541" s="13"/>
      <c r="N541" s="146"/>
      <c r="O541" s="13"/>
      <c r="P541" s="146"/>
      <c r="R541" s="129"/>
      <c r="T541" s="13"/>
    </row>
    <row r="542" spans="1:20" ht="12.75" customHeight="1" x14ac:dyDescent="0.2">
      <c r="A542" s="134"/>
      <c r="B542" s="145"/>
      <c r="C542" s="145"/>
      <c r="D542" s="145"/>
      <c r="E542" s="13"/>
      <c r="F542" s="13"/>
      <c r="G542" s="144"/>
      <c r="H542" s="13"/>
      <c r="I542" s="13"/>
      <c r="J542" s="13"/>
      <c r="K542" s="13"/>
      <c r="L542" s="13"/>
      <c r="M542" s="13"/>
      <c r="N542" s="146"/>
      <c r="O542" s="13"/>
      <c r="P542" s="146"/>
      <c r="R542" s="129"/>
      <c r="T542" s="13"/>
    </row>
    <row r="543" spans="1:20" ht="12.75" customHeight="1" x14ac:dyDescent="0.2">
      <c r="A543" s="134"/>
      <c r="B543" s="145"/>
      <c r="C543" s="145"/>
      <c r="D543" s="145"/>
      <c r="E543" s="13"/>
      <c r="F543" s="13"/>
      <c r="G543" s="144"/>
      <c r="H543" s="13"/>
      <c r="I543" s="13"/>
      <c r="J543" s="13"/>
      <c r="K543" s="13"/>
      <c r="L543" s="13"/>
      <c r="M543" s="13"/>
      <c r="N543" s="146"/>
      <c r="O543" s="13"/>
      <c r="P543" s="146"/>
      <c r="R543" s="129"/>
      <c r="T543" s="13"/>
    </row>
    <row r="544" spans="1:20" ht="12.75" customHeight="1" x14ac:dyDescent="0.2">
      <c r="A544" s="134"/>
      <c r="B544" s="145"/>
      <c r="C544" s="145"/>
      <c r="D544" s="145"/>
      <c r="E544" s="13"/>
      <c r="F544" s="13"/>
      <c r="G544" s="144"/>
      <c r="H544" s="13"/>
      <c r="I544" s="13"/>
      <c r="J544" s="13"/>
      <c r="K544" s="13"/>
      <c r="L544" s="13"/>
      <c r="M544" s="13"/>
      <c r="N544" s="146"/>
      <c r="O544" s="13"/>
      <c r="P544" s="146"/>
      <c r="R544" s="129"/>
      <c r="T544" s="13"/>
    </row>
    <row r="545" spans="1:20" ht="12.75" customHeight="1" x14ac:dyDescent="0.2">
      <c r="A545" s="134"/>
      <c r="B545" s="145"/>
      <c r="C545" s="145"/>
      <c r="D545" s="145"/>
      <c r="E545" s="13"/>
      <c r="F545" s="13"/>
      <c r="G545" s="144"/>
      <c r="H545" s="13"/>
      <c r="I545" s="13"/>
      <c r="J545" s="13"/>
      <c r="K545" s="13"/>
      <c r="L545" s="13"/>
      <c r="M545" s="13"/>
      <c r="N545" s="146"/>
      <c r="O545" s="13"/>
      <c r="P545" s="146"/>
      <c r="R545" s="129"/>
      <c r="T545" s="13"/>
    </row>
    <row r="546" spans="1:20" ht="12.75" customHeight="1" x14ac:dyDescent="0.2">
      <c r="A546" s="134"/>
      <c r="B546" s="145"/>
      <c r="C546" s="145"/>
      <c r="D546" s="145"/>
      <c r="E546" s="13"/>
      <c r="F546" s="13"/>
      <c r="G546" s="144"/>
      <c r="H546" s="13"/>
      <c r="I546" s="13"/>
      <c r="J546" s="13"/>
      <c r="K546" s="13"/>
      <c r="L546" s="13"/>
      <c r="M546" s="13"/>
      <c r="N546" s="146"/>
      <c r="O546" s="13"/>
      <c r="P546" s="146"/>
      <c r="R546" s="129"/>
      <c r="T546" s="13"/>
    </row>
    <row r="547" spans="1:20" ht="12.75" customHeight="1" x14ac:dyDescent="0.2">
      <c r="A547" s="134"/>
      <c r="B547" s="145"/>
      <c r="C547" s="145"/>
      <c r="D547" s="145"/>
      <c r="E547" s="13"/>
      <c r="F547" s="13"/>
      <c r="G547" s="144"/>
      <c r="H547" s="13"/>
      <c r="I547" s="13"/>
      <c r="J547" s="13"/>
      <c r="K547" s="13"/>
      <c r="L547" s="13"/>
      <c r="M547" s="13"/>
      <c r="N547" s="146"/>
      <c r="O547" s="13"/>
      <c r="P547" s="146"/>
      <c r="R547" s="129"/>
      <c r="T547" s="13"/>
    </row>
    <row r="548" spans="1:20" ht="12.75" customHeight="1" x14ac:dyDescent="0.2">
      <c r="A548" s="134"/>
      <c r="B548" s="145"/>
      <c r="C548" s="145"/>
      <c r="D548" s="145"/>
      <c r="E548" s="13"/>
      <c r="F548" s="13"/>
      <c r="G548" s="144"/>
      <c r="H548" s="13"/>
      <c r="I548" s="13"/>
      <c r="J548" s="13"/>
      <c r="K548" s="13"/>
      <c r="L548" s="13"/>
      <c r="M548" s="13"/>
      <c r="N548" s="146"/>
      <c r="O548" s="13"/>
      <c r="P548" s="146"/>
      <c r="R548" s="129"/>
      <c r="T548" s="13"/>
    </row>
    <row r="549" spans="1:20" ht="12.75" customHeight="1" x14ac:dyDescent="0.2">
      <c r="A549" s="134"/>
      <c r="B549" s="145"/>
      <c r="C549" s="145"/>
      <c r="D549" s="145"/>
      <c r="E549" s="13"/>
      <c r="F549" s="13"/>
      <c r="G549" s="144"/>
      <c r="H549" s="13"/>
      <c r="I549" s="13"/>
      <c r="J549" s="13"/>
      <c r="K549" s="13"/>
      <c r="L549" s="13"/>
      <c r="M549" s="13"/>
      <c r="N549" s="146"/>
      <c r="O549" s="13"/>
      <c r="P549" s="146"/>
      <c r="R549" s="129"/>
      <c r="T549" s="13"/>
    </row>
    <row r="550" spans="1:20" ht="12.75" customHeight="1" x14ac:dyDescent="0.2">
      <c r="A550" s="134"/>
      <c r="B550" s="145"/>
      <c r="C550" s="145"/>
      <c r="D550" s="145"/>
      <c r="E550" s="13"/>
      <c r="F550" s="13"/>
      <c r="G550" s="144"/>
      <c r="H550" s="13"/>
      <c r="I550" s="13"/>
      <c r="J550" s="13"/>
      <c r="K550" s="13"/>
      <c r="L550" s="13"/>
      <c r="M550" s="13"/>
      <c r="N550" s="146"/>
      <c r="O550" s="13"/>
      <c r="P550" s="146"/>
      <c r="R550" s="129"/>
      <c r="T550" s="13"/>
    </row>
    <row r="551" spans="1:20" ht="12.75" customHeight="1" x14ac:dyDescent="0.2">
      <c r="A551" s="134"/>
      <c r="B551" s="145"/>
      <c r="C551" s="145"/>
      <c r="D551" s="145"/>
      <c r="E551" s="13"/>
      <c r="F551" s="13"/>
      <c r="G551" s="144"/>
      <c r="H551" s="13"/>
      <c r="I551" s="13"/>
      <c r="J551" s="13"/>
      <c r="K551" s="13"/>
      <c r="L551" s="13"/>
      <c r="M551" s="13"/>
      <c r="N551" s="146"/>
      <c r="O551" s="13"/>
      <c r="P551" s="146"/>
      <c r="R551" s="129"/>
      <c r="T551" s="13"/>
    </row>
    <row r="552" spans="1:20" ht="12.75" customHeight="1" x14ac:dyDescent="0.2">
      <c r="A552" s="134"/>
      <c r="B552" s="145"/>
      <c r="C552" s="145"/>
      <c r="D552" s="145"/>
      <c r="E552" s="13"/>
      <c r="F552" s="13"/>
      <c r="G552" s="144"/>
      <c r="H552" s="13"/>
      <c r="I552" s="13"/>
      <c r="J552" s="13"/>
      <c r="K552" s="13"/>
      <c r="L552" s="13"/>
      <c r="M552" s="13"/>
      <c r="N552" s="146"/>
      <c r="O552" s="13"/>
      <c r="P552" s="146"/>
      <c r="R552" s="129"/>
      <c r="T552" s="13"/>
    </row>
    <row r="553" spans="1:20" ht="12.75" customHeight="1" x14ac:dyDescent="0.2">
      <c r="A553" s="134"/>
      <c r="B553" s="145"/>
      <c r="C553" s="145"/>
      <c r="D553" s="145"/>
      <c r="E553" s="13"/>
      <c r="F553" s="13"/>
      <c r="G553" s="144"/>
      <c r="H553" s="13"/>
      <c r="I553" s="13"/>
      <c r="J553" s="13"/>
      <c r="K553" s="13"/>
      <c r="L553" s="13"/>
      <c r="M553" s="13"/>
      <c r="N553" s="146"/>
      <c r="O553" s="13"/>
      <c r="P553" s="146"/>
      <c r="R553" s="129"/>
      <c r="T553" s="13"/>
    </row>
    <row r="554" spans="1:20" ht="12.75" customHeight="1" x14ac:dyDescent="0.2">
      <c r="A554" s="134"/>
      <c r="B554" s="145"/>
      <c r="C554" s="145"/>
      <c r="D554" s="145"/>
      <c r="E554" s="13"/>
      <c r="F554" s="13"/>
      <c r="G554" s="144"/>
      <c r="H554" s="13"/>
      <c r="I554" s="13"/>
      <c r="J554" s="13"/>
      <c r="K554" s="13"/>
      <c r="L554" s="13"/>
      <c r="M554" s="13"/>
      <c r="N554" s="146"/>
      <c r="O554" s="13"/>
      <c r="P554" s="146"/>
      <c r="R554" s="129"/>
      <c r="T554" s="13"/>
    </row>
    <row r="555" spans="1:20" ht="12.75" customHeight="1" x14ac:dyDescent="0.2">
      <c r="A555" s="134"/>
      <c r="B555" s="145"/>
      <c r="C555" s="145"/>
      <c r="D555" s="145"/>
      <c r="E555" s="13"/>
      <c r="F555" s="13"/>
      <c r="G555" s="144"/>
      <c r="H555" s="13"/>
      <c r="I555" s="13"/>
      <c r="J555" s="13"/>
      <c r="K555" s="13"/>
      <c r="L555" s="13"/>
      <c r="M555" s="13"/>
      <c r="N555" s="146"/>
      <c r="O555" s="13"/>
      <c r="P555" s="146"/>
      <c r="R555" s="129"/>
      <c r="T555" s="13"/>
    </row>
    <row r="556" spans="1:20" ht="12.75" customHeight="1" x14ac:dyDescent="0.2">
      <c r="A556" s="134"/>
      <c r="B556" s="145"/>
      <c r="C556" s="145"/>
      <c r="D556" s="145"/>
      <c r="E556" s="13"/>
      <c r="F556" s="13"/>
      <c r="G556" s="144"/>
      <c r="H556" s="13"/>
      <c r="I556" s="13"/>
      <c r="J556" s="13"/>
      <c r="K556" s="13"/>
      <c r="L556" s="13"/>
      <c r="M556" s="13"/>
      <c r="N556" s="146"/>
      <c r="O556" s="13"/>
      <c r="P556" s="146"/>
      <c r="R556" s="129"/>
      <c r="T556" s="13"/>
    </row>
    <row r="557" spans="1:20" ht="12.75" customHeight="1" x14ac:dyDescent="0.2">
      <c r="A557" s="134"/>
      <c r="B557" s="145"/>
      <c r="C557" s="145"/>
      <c r="D557" s="145"/>
      <c r="E557" s="13"/>
      <c r="F557" s="13"/>
      <c r="G557" s="144"/>
      <c r="H557" s="13"/>
      <c r="I557" s="13"/>
      <c r="J557" s="13"/>
      <c r="K557" s="13"/>
      <c r="L557" s="13"/>
      <c r="M557" s="13"/>
      <c r="N557" s="146"/>
      <c r="O557" s="13"/>
      <c r="P557" s="146"/>
      <c r="R557" s="129"/>
      <c r="T557" s="13"/>
    </row>
    <row r="558" spans="1:20" ht="12.75" customHeight="1" x14ac:dyDescent="0.2">
      <c r="A558" s="134"/>
      <c r="B558" s="145"/>
      <c r="C558" s="145"/>
      <c r="D558" s="145"/>
      <c r="E558" s="13"/>
      <c r="F558" s="13"/>
      <c r="G558" s="144"/>
      <c r="H558" s="13"/>
      <c r="I558" s="13"/>
      <c r="J558" s="13"/>
      <c r="K558" s="13"/>
      <c r="L558" s="13"/>
      <c r="M558" s="13"/>
      <c r="N558" s="146"/>
      <c r="O558" s="13"/>
      <c r="P558" s="146"/>
      <c r="R558" s="129"/>
      <c r="T558" s="13"/>
    </row>
    <row r="559" spans="1:20" ht="12.75" customHeight="1" x14ac:dyDescent="0.2">
      <c r="A559" s="134"/>
      <c r="B559" s="145"/>
      <c r="C559" s="145"/>
      <c r="D559" s="145"/>
      <c r="E559" s="13"/>
      <c r="F559" s="13"/>
      <c r="G559" s="144"/>
      <c r="H559" s="13"/>
      <c r="I559" s="13"/>
      <c r="J559" s="13"/>
      <c r="K559" s="13"/>
      <c r="L559" s="13"/>
      <c r="M559" s="13"/>
      <c r="N559" s="146"/>
      <c r="O559" s="13"/>
      <c r="P559" s="146"/>
      <c r="R559" s="129"/>
      <c r="T559" s="13"/>
    </row>
    <row r="560" spans="1:20" ht="12.75" customHeight="1" x14ac:dyDescent="0.2">
      <c r="A560" s="134"/>
      <c r="B560" s="145"/>
      <c r="C560" s="145"/>
      <c r="D560" s="145"/>
      <c r="E560" s="13"/>
      <c r="F560" s="13"/>
      <c r="G560" s="144"/>
      <c r="H560" s="13"/>
      <c r="I560" s="13"/>
      <c r="J560" s="13"/>
      <c r="K560" s="13"/>
      <c r="L560" s="13"/>
      <c r="M560" s="13"/>
      <c r="N560" s="146"/>
      <c r="O560" s="13"/>
      <c r="P560" s="146"/>
      <c r="R560" s="129"/>
      <c r="T560" s="13"/>
    </row>
    <row r="561" spans="1:20" ht="12.75" customHeight="1" x14ac:dyDescent="0.2">
      <c r="A561" s="134"/>
      <c r="B561" s="145"/>
      <c r="C561" s="145"/>
      <c r="D561" s="145"/>
      <c r="E561" s="13"/>
      <c r="F561" s="13"/>
      <c r="G561" s="144"/>
      <c r="H561" s="13"/>
      <c r="I561" s="13"/>
      <c r="J561" s="13"/>
      <c r="K561" s="13"/>
      <c r="L561" s="13"/>
      <c r="M561" s="13"/>
      <c r="N561" s="146"/>
      <c r="O561" s="13"/>
      <c r="P561" s="146"/>
      <c r="R561" s="129"/>
      <c r="T561" s="13"/>
    </row>
    <row r="562" spans="1:20" ht="12.75" customHeight="1" x14ac:dyDescent="0.2">
      <c r="A562" s="134"/>
      <c r="B562" s="145"/>
      <c r="C562" s="145"/>
      <c r="D562" s="145"/>
      <c r="E562" s="13"/>
      <c r="F562" s="13"/>
      <c r="G562" s="144"/>
      <c r="H562" s="13"/>
      <c r="I562" s="13"/>
      <c r="J562" s="13"/>
      <c r="K562" s="13"/>
      <c r="L562" s="13"/>
      <c r="M562" s="13"/>
      <c r="N562" s="146"/>
      <c r="O562" s="13"/>
      <c r="P562" s="146"/>
      <c r="R562" s="129"/>
      <c r="T562" s="13"/>
    </row>
    <row r="563" spans="1:20" ht="12.75" customHeight="1" x14ac:dyDescent="0.2">
      <c r="A563" s="134"/>
      <c r="B563" s="145"/>
      <c r="C563" s="145"/>
      <c r="D563" s="145"/>
      <c r="E563" s="13"/>
      <c r="F563" s="13"/>
      <c r="G563" s="144"/>
      <c r="H563" s="13"/>
      <c r="I563" s="13"/>
      <c r="J563" s="13"/>
      <c r="K563" s="13"/>
      <c r="L563" s="13"/>
      <c r="M563" s="13"/>
      <c r="N563" s="146"/>
      <c r="O563" s="13"/>
      <c r="P563" s="146"/>
      <c r="R563" s="129"/>
      <c r="T563" s="13"/>
    </row>
    <row r="564" spans="1:20" ht="12.75" customHeight="1" x14ac:dyDescent="0.2">
      <c r="A564" s="134"/>
      <c r="B564" s="145"/>
      <c r="C564" s="145"/>
      <c r="D564" s="145"/>
      <c r="E564" s="13"/>
      <c r="F564" s="13"/>
      <c r="G564" s="144"/>
      <c r="H564" s="13"/>
      <c r="I564" s="13"/>
      <c r="J564" s="13"/>
      <c r="K564" s="13"/>
      <c r="L564" s="13"/>
      <c r="M564" s="13"/>
      <c r="N564" s="146"/>
      <c r="O564" s="13"/>
      <c r="P564" s="146"/>
      <c r="R564" s="129"/>
      <c r="T564" s="13"/>
    </row>
    <row r="565" spans="1:20" ht="12.75" customHeight="1" x14ac:dyDescent="0.2">
      <c r="A565" s="134"/>
      <c r="B565" s="145"/>
      <c r="C565" s="145"/>
      <c r="D565" s="145"/>
      <c r="E565" s="13"/>
      <c r="F565" s="13"/>
      <c r="G565" s="144"/>
      <c r="H565" s="13"/>
      <c r="I565" s="13"/>
      <c r="J565" s="13"/>
      <c r="K565" s="13"/>
      <c r="L565" s="13"/>
      <c r="M565" s="13"/>
      <c r="N565" s="146"/>
      <c r="O565" s="13"/>
      <c r="P565" s="146"/>
      <c r="R565" s="129"/>
      <c r="T565" s="13"/>
    </row>
    <row r="566" spans="1:20" ht="12.75" customHeight="1" x14ac:dyDescent="0.2">
      <c r="A566" s="134"/>
      <c r="B566" s="145"/>
      <c r="C566" s="145"/>
      <c r="D566" s="145"/>
      <c r="E566" s="13"/>
      <c r="F566" s="13"/>
      <c r="G566" s="144"/>
      <c r="H566" s="13"/>
      <c r="I566" s="13"/>
      <c r="J566" s="13"/>
      <c r="K566" s="13"/>
      <c r="L566" s="13"/>
      <c r="M566" s="13"/>
      <c r="N566" s="146"/>
      <c r="O566" s="13"/>
      <c r="P566" s="146"/>
      <c r="R566" s="129"/>
      <c r="T566" s="13"/>
    </row>
    <row r="567" spans="1:20" ht="12.75" customHeight="1" x14ac:dyDescent="0.2">
      <c r="A567" s="134"/>
      <c r="B567" s="145"/>
      <c r="C567" s="145"/>
      <c r="D567" s="145"/>
      <c r="E567" s="13"/>
      <c r="F567" s="13"/>
      <c r="G567" s="144"/>
      <c r="H567" s="13"/>
      <c r="I567" s="13"/>
      <c r="J567" s="13"/>
      <c r="K567" s="13"/>
      <c r="L567" s="13"/>
      <c r="M567" s="13"/>
      <c r="N567" s="146"/>
      <c r="O567" s="13"/>
      <c r="P567" s="146"/>
      <c r="R567" s="129"/>
      <c r="T567" s="13"/>
    </row>
    <row r="568" spans="1:20" ht="12.75" customHeight="1" x14ac:dyDescent="0.2">
      <c r="A568" s="134"/>
      <c r="B568" s="145"/>
      <c r="C568" s="145"/>
      <c r="D568" s="145"/>
      <c r="E568" s="13"/>
      <c r="F568" s="13"/>
      <c r="G568" s="144"/>
      <c r="H568" s="13"/>
      <c r="I568" s="13"/>
      <c r="J568" s="13"/>
      <c r="K568" s="13"/>
      <c r="L568" s="13"/>
      <c r="M568" s="13"/>
      <c r="N568" s="146"/>
      <c r="O568" s="13"/>
      <c r="P568" s="146"/>
      <c r="R568" s="129"/>
      <c r="T568" s="13"/>
    </row>
    <row r="569" spans="1:20" ht="12.75" customHeight="1" x14ac:dyDescent="0.2">
      <c r="A569" s="134"/>
      <c r="B569" s="145"/>
      <c r="C569" s="145"/>
      <c r="D569" s="145"/>
      <c r="E569" s="13"/>
      <c r="F569" s="13"/>
      <c r="G569" s="144"/>
      <c r="H569" s="13"/>
      <c r="I569" s="13"/>
      <c r="J569" s="13"/>
      <c r="K569" s="13"/>
      <c r="L569" s="13"/>
      <c r="M569" s="13"/>
      <c r="N569" s="146"/>
      <c r="O569" s="13"/>
      <c r="P569" s="146"/>
      <c r="R569" s="129"/>
      <c r="T569" s="13"/>
    </row>
    <row r="570" spans="1:20" ht="12.75" customHeight="1" x14ac:dyDescent="0.2">
      <c r="A570" s="134"/>
      <c r="B570" s="145"/>
      <c r="C570" s="145"/>
      <c r="D570" s="145"/>
      <c r="E570" s="13"/>
      <c r="F570" s="13"/>
      <c r="G570" s="144"/>
      <c r="H570" s="13"/>
      <c r="I570" s="13"/>
      <c r="J570" s="13"/>
      <c r="K570" s="13"/>
      <c r="L570" s="13"/>
      <c r="M570" s="13"/>
      <c r="N570" s="146"/>
      <c r="O570" s="13"/>
      <c r="P570" s="146"/>
      <c r="R570" s="129"/>
      <c r="T570" s="13"/>
    </row>
    <row r="571" spans="1:20" ht="12.75" customHeight="1" x14ac:dyDescent="0.2">
      <c r="A571" s="134"/>
      <c r="B571" s="145"/>
      <c r="C571" s="145"/>
      <c r="D571" s="145"/>
      <c r="E571" s="13"/>
      <c r="F571" s="13"/>
      <c r="G571" s="144"/>
      <c r="H571" s="13"/>
      <c r="I571" s="13"/>
      <c r="J571" s="13"/>
      <c r="K571" s="13"/>
      <c r="L571" s="13"/>
      <c r="M571" s="13"/>
      <c r="N571" s="146"/>
      <c r="O571" s="13"/>
      <c r="P571" s="146"/>
      <c r="R571" s="129"/>
      <c r="T571" s="13"/>
    </row>
    <row r="572" spans="1:20" ht="12.75" customHeight="1" x14ac:dyDescent="0.2">
      <c r="A572" s="134"/>
      <c r="B572" s="145"/>
      <c r="C572" s="145"/>
      <c r="D572" s="145"/>
      <c r="E572" s="13"/>
      <c r="F572" s="13"/>
      <c r="G572" s="144"/>
      <c r="H572" s="13"/>
      <c r="I572" s="13"/>
      <c r="J572" s="13"/>
      <c r="K572" s="13"/>
      <c r="L572" s="13"/>
      <c r="M572" s="13"/>
      <c r="N572" s="146"/>
      <c r="O572" s="13"/>
      <c r="P572" s="146"/>
      <c r="R572" s="129"/>
      <c r="T572" s="13"/>
    </row>
    <row r="573" spans="1:20" ht="12.75" customHeight="1" x14ac:dyDescent="0.2">
      <c r="A573" s="134"/>
      <c r="B573" s="145"/>
      <c r="C573" s="145"/>
      <c r="D573" s="145"/>
      <c r="E573" s="13"/>
      <c r="F573" s="13"/>
      <c r="G573" s="144"/>
      <c r="H573" s="13"/>
      <c r="I573" s="13"/>
      <c r="J573" s="13"/>
      <c r="K573" s="13"/>
      <c r="L573" s="13"/>
      <c r="M573" s="13"/>
      <c r="N573" s="146"/>
      <c r="O573" s="13"/>
      <c r="P573" s="146"/>
      <c r="R573" s="129"/>
      <c r="T573" s="13"/>
    </row>
    <row r="574" spans="1:20" ht="12.75" customHeight="1" x14ac:dyDescent="0.2">
      <c r="A574" s="134"/>
      <c r="B574" s="145"/>
      <c r="C574" s="145"/>
      <c r="D574" s="145"/>
      <c r="E574" s="13"/>
      <c r="F574" s="13"/>
      <c r="G574" s="144"/>
      <c r="H574" s="13"/>
      <c r="I574" s="13"/>
      <c r="J574" s="13"/>
      <c r="K574" s="13"/>
      <c r="L574" s="13"/>
      <c r="M574" s="13"/>
      <c r="N574" s="146"/>
      <c r="O574" s="13"/>
      <c r="P574" s="146"/>
      <c r="R574" s="129"/>
      <c r="T574" s="13"/>
    </row>
    <row r="575" spans="1:20" ht="12.75" customHeight="1" x14ac:dyDescent="0.2">
      <c r="A575" s="134"/>
      <c r="B575" s="145"/>
      <c r="C575" s="145"/>
      <c r="D575" s="145"/>
      <c r="E575" s="13"/>
      <c r="F575" s="13"/>
      <c r="G575" s="144"/>
      <c r="H575" s="13"/>
      <c r="I575" s="13"/>
      <c r="J575" s="13"/>
      <c r="K575" s="13"/>
      <c r="L575" s="13"/>
      <c r="M575" s="13"/>
      <c r="N575" s="146"/>
      <c r="O575" s="13"/>
      <c r="P575" s="146"/>
      <c r="R575" s="129"/>
      <c r="T575" s="13"/>
    </row>
    <row r="576" spans="1:20" ht="12.75" customHeight="1" x14ac:dyDescent="0.2">
      <c r="A576" s="134"/>
      <c r="B576" s="145"/>
      <c r="C576" s="145"/>
      <c r="D576" s="145"/>
      <c r="E576" s="13"/>
      <c r="F576" s="13"/>
      <c r="G576" s="144"/>
      <c r="H576" s="13"/>
      <c r="I576" s="13"/>
      <c r="J576" s="13"/>
      <c r="K576" s="13"/>
      <c r="L576" s="13"/>
      <c r="M576" s="13"/>
      <c r="N576" s="146"/>
      <c r="O576" s="13"/>
      <c r="P576" s="146"/>
      <c r="R576" s="129"/>
      <c r="T576" s="13"/>
    </row>
    <row r="577" spans="1:20" ht="12.75" customHeight="1" x14ac:dyDescent="0.2">
      <c r="A577" s="134"/>
      <c r="B577" s="145"/>
      <c r="C577" s="145"/>
      <c r="D577" s="145"/>
      <c r="E577" s="13"/>
      <c r="F577" s="13"/>
      <c r="G577" s="144"/>
      <c r="H577" s="13"/>
      <c r="I577" s="13"/>
      <c r="J577" s="13"/>
      <c r="K577" s="13"/>
      <c r="L577" s="13"/>
      <c r="M577" s="13"/>
      <c r="N577" s="146"/>
      <c r="O577" s="13"/>
      <c r="P577" s="146"/>
      <c r="R577" s="129"/>
      <c r="T577" s="13"/>
    </row>
    <row r="578" spans="1:20" ht="12.75" customHeight="1" x14ac:dyDescent="0.2">
      <c r="A578" s="134"/>
      <c r="B578" s="145"/>
      <c r="C578" s="145"/>
      <c r="D578" s="145"/>
      <c r="E578" s="13"/>
      <c r="F578" s="13"/>
      <c r="G578" s="144"/>
      <c r="H578" s="13"/>
      <c r="I578" s="13"/>
      <c r="J578" s="13"/>
      <c r="K578" s="13"/>
      <c r="L578" s="13"/>
      <c r="M578" s="13"/>
      <c r="N578" s="146"/>
      <c r="O578" s="13"/>
      <c r="P578" s="146"/>
      <c r="R578" s="129"/>
      <c r="T578" s="13"/>
    </row>
    <row r="579" spans="1:20" ht="12.75" customHeight="1" x14ac:dyDescent="0.2">
      <c r="A579" s="134"/>
      <c r="B579" s="145"/>
      <c r="C579" s="145"/>
      <c r="D579" s="145"/>
      <c r="E579" s="13"/>
      <c r="F579" s="13"/>
      <c r="G579" s="144"/>
      <c r="H579" s="13"/>
      <c r="I579" s="13"/>
      <c r="J579" s="13"/>
      <c r="K579" s="13"/>
      <c r="L579" s="13"/>
      <c r="M579" s="13"/>
      <c r="N579" s="146"/>
      <c r="O579" s="13"/>
      <c r="P579" s="146"/>
      <c r="R579" s="129"/>
      <c r="T579" s="13"/>
    </row>
    <row r="580" spans="1:20" ht="12.75" customHeight="1" x14ac:dyDescent="0.2">
      <c r="A580" s="134"/>
      <c r="B580" s="145"/>
      <c r="C580" s="145"/>
      <c r="D580" s="145"/>
      <c r="E580" s="13"/>
      <c r="F580" s="13"/>
      <c r="G580" s="144"/>
      <c r="H580" s="13"/>
      <c r="I580" s="13"/>
      <c r="J580" s="13"/>
      <c r="K580" s="13"/>
      <c r="L580" s="13"/>
      <c r="M580" s="13"/>
      <c r="N580" s="146"/>
      <c r="O580" s="13"/>
      <c r="P580" s="146"/>
      <c r="R580" s="129"/>
      <c r="T580" s="13"/>
    </row>
    <row r="581" spans="1:20" ht="12.75" customHeight="1" x14ac:dyDescent="0.2">
      <c r="A581" s="134"/>
      <c r="B581" s="145"/>
      <c r="C581" s="145"/>
      <c r="D581" s="145"/>
      <c r="E581" s="13"/>
      <c r="F581" s="13"/>
      <c r="G581" s="144"/>
      <c r="H581" s="13"/>
      <c r="I581" s="13"/>
      <c r="J581" s="13"/>
      <c r="K581" s="13"/>
      <c r="L581" s="13"/>
      <c r="M581" s="13"/>
      <c r="N581" s="146"/>
      <c r="O581" s="13"/>
      <c r="P581" s="146"/>
      <c r="R581" s="129"/>
      <c r="T581" s="13"/>
    </row>
    <row r="582" spans="1:20" ht="12.75" customHeight="1" x14ac:dyDescent="0.2">
      <c r="A582" s="134"/>
      <c r="B582" s="145"/>
      <c r="C582" s="145"/>
      <c r="D582" s="145"/>
      <c r="E582" s="13"/>
      <c r="F582" s="13"/>
      <c r="G582" s="144"/>
      <c r="H582" s="13"/>
      <c r="I582" s="13"/>
      <c r="J582" s="13"/>
      <c r="K582" s="13"/>
      <c r="L582" s="13"/>
      <c r="M582" s="13"/>
      <c r="N582" s="146"/>
      <c r="O582" s="13"/>
      <c r="P582" s="146"/>
      <c r="R582" s="129"/>
      <c r="T582" s="13"/>
    </row>
    <row r="583" spans="1:20" ht="12.75" customHeight="1" x14ac:dyDescent="0.2">
      <c r="A583" s="134"/>
      <c r="B583" s="145"/>
      <c r="C583" s="145"/>
      <c r="D583" s="145"/>
      <c r="E583" s="13"/>
      <c r="F583" s="13"/>
      <c r="G583" s="144"/>
      <c r="H583" s="13"/>
      <c r="I583" s="13"/>
      <c r="J583" s="13"/>
      <c r="K583" s="13"/>
      <c r="L583" s="13"/>
      <c r="M583" s="13"/>
      <c r="N583" s="146"/>
      <c r="O583" s="13"/>
      <c r="P583" s="146"/>
      <c r="R583" s="129"/>
      <c r="T583" s="13"/>
    </row>
    <row r="584" spans="1:20" ht="12.75" customHeight="1" x14ac:dyDescent="0.2">
      <c r="A584" s="134"/>
      <c r="B584" s="145"/>
      <c r="C584" s="145"/>
      <c r="D584" s="145"/>
      <c r="E584" s="13"/>
      <c r="F584" s="13"/>
      <c r="G584" s="144"/>
      <c r="H584" s="13"/>
      <c r="I584" s="13"/>
      <c r="J584" s="13"/>
      <c r="K584" s="13"/>
      <c r="L584" s="13"/>
      <c r="M584" s="13"/>
      <c r="N584" s="146"/>
      <c r="O584" s="13"/>
      <c r="P584" s="146"/>
      <c r="R584" s="129"/>
      <c r="T584" s="13"/>
    </row>
    <row r="585" spans="1:20" ht="12.75" customHeight="1" x14ac:dyDescent="0.2">
      <c r="A585" s="134"/>
      <c r="B585" s="145"/>
      <c r="C585" s="145"/>
      <c r="D585" s="145"/>
      <c r="E585" s="13"/>
      <c r="F585" s="13"/>
      <c r="G585" s="144"/>
      <c r="H585" s="13"/>
      <c r="I585" s="13"/>
      <c r="J585" s="13"/>
      <c r="K585" s="13"/>
      <c r="L585" s="13"/>
      <c r="M585" s="13"/>
      <c r="N585" s="146"/>
      <c r="O585" s="13"/>
      <c r="P585" s="146"/>
      <c r="R585" s="129"/>
      <c r="T585" s="13"/>
    </row>
    <row r="586" spans="1:20" ht="12.75" customHeight="1" x14ac:dyDescent="0.2">
      <c r="A586" s="134"/>
      <c r="B586" s="145"/>
      <c r="C586" s="145"/>
      <c r="D586" s="145"/>
      <c r="E586" s="13"/>
      <c r="F586" s="13"/>
      <c r="G586" s="144"/>
      <c r="H586" s="13"/>
      <c r="I586" s="13"/>
      <c r="J586" s="13"/>
      <c r="K586" s="13"/>
      <c r="L586" s="13"/>
      <c r="M586" s="13"/>
      <c r="N586" s="146"/>
      <c r="O586" s="13"/>
      <c r="P586" s="146"/>
      <c r="R586" s="129"/>
      <c r="T586" s="13"/>
    </row>
    <row r="587" spans="1:20" ht="12.75" customHeight="1" x14ac:dyDescent="0.2">
      <c r="A587" s="134"/>
      <c r="B587" s="145"/>
      <c r="C587" s="145"/>
      <c r="D587" s="145"/>
      <c r="E587" s="13"/>
      <c r="F587" s="13"/>
      <c r="G587" s="144"/>
      <c r="H587" s="13"/>
      <c r="I587" s="13"/>
      <c r="J587" s="13"/>
      <c r="K587" s="13"/>
      <c r="L587" s="13"/>
      <c r="M587" s="13"/>
      <c r="N587" s="146"/>
      <c r="O587" s="13"/>
      <c r="P587" s="146"/>
      <c r="R587" s="129"/>
      <c r="T587" s="13"/>
    </row>
    <row r="588" spans="1:20" ht="12.75" customHeight="1" x14ac:dyDescent="0.2">
      <c r="A588" s="134"/>
      <c r="B588" s="145"/>
      <c r="C588" s="145"/>
      <c r="D588" s="145"/>
      <c r="E588" s="13"/>
      <c r="F588" s="13"/>
      <c r="G588" s="144"/>
      <c r="H588" s="13"/>
      <c r="I588" s="13"/>
      <c r="J588" s="13"/>
      <c r="K588" s="13"/>
      <c r="L588" s="13"/>
      <c r="M588" s="13"/>
      <c r="N588" s="146"/>
      <c r="O588" s="13"/>
      <c r="P588" s="146"/>
      <c r="R588" s="129"/>
      <c r="T588" s="13"/>
    </row>
    <row r="589" spans="1:20" ht="12.75" customHeight="1" x14ac:dyDescent="0.2">
      <c r="A589" s="134"/>
      <c r="B589" s="145"/>
      <c r="C589" s="145"/>
      <c r="D589" s="145"/>
      <c r="E589" s="13"/>
      <c r="F589" s="13"/>
      <c r="G589" s="144"/>
      <c r="H589" s="13"/>
      <c r="I589" s="13"/>
      <c r="J589" s="13"/>
      <c r="K589" s="13"/>
      <c r="L589" s="13"/>
      <c r="M589" s="13"/>
      <c r="N589" s="146"/>
      <c r="O589" s="13"/>
      <c r="P589" s="146"/>
      <c r="R589" s="129"/>
      <c r="T589" s="13"/>
    </row>
    <row r="590" spans="1:20" ht="12.75" customHeight="1" x14ac:dyDescent="0.2">
      <c r="A590" s="134"/>
      <c r="B590" s="145"/>
      <c r="C590" s="145"/>
      <c r="D590" s="145"/>
      <c r="E590" s="13"/>
      <c r="F590" s="13"/>
      <c r="G590" s="144"/>
      <c r="H590" s="13"/>
      <c r="I590" s="13"/>
      <c r="J590" s="13"/>
      <c r="K590" s="13"/>
      <c r="L590" s="13"/>
      <c r="M590" s="13"/>
      <c r="N590" s="146"/>
      <c r="O590" s="13"/>
      <c r="P590" s="146"/>
      <c r="R590" s="129"/>
      <c r="T590" s="13"/>
    </row>
    <row r="591" spans="1:20" ht="12.75" customHeight="1" x14ac:dyDescent="0.2">
      <c r="A591" s="134"/>
      <c r="B591" s="145"/>
      <c r="C591" s="145"/>
      <c r="D591" s="145"/>
      <c r="E591" s="13"/>
      <c r="F591" s="13"/>
      <c r="G591" s="144"/>
      <c r="H591" s="13"/>
      <c r="I591" s="13"/>
      <c r="J591" s="13"/>
      <c r="K591" s="13"/>
      <c r="L591" s="13"/>
      <c r="M591" s="13"/>
      <c r="N591" s="146"/>
      <c r="O591" s="13"/>
      <c r="P591" s="146"/>
      <c r="R591" s="129"/>
      <c r="T591" s="13"/>
    </row>
    <row r="592" spans="1:20" ht="12.75" customHeight="1" x14ac:dyDescent="0.2">
      <c r="A592" s="134"/>
      <c r="B592" s="145"/>
      <c r="C592" s="145"/>
      <c r="D592" s="145"/>
      <c r="E592" s="13"/>
      <c r="F592" s="13"/>
      <c r="G592" s="144"/>
      <c r="H592" s="13"/>
      <c r="I592" s="13"/>
      <c r="J592" s="13"/>
      <c r="K592" s="13"/>
      <c r="L592" s="13"/>
      <c r="M592" s="13"/>
      <c r="N592" s="146"/>
      <c r="O592" s="13"/>
      <c r="P592" s="146"/>
      <c r="R592" s="129"/>
      <c r="T592" s="13"/>
    </row>
    <row r="593" spans="1:20" ht="12.75" customHeight="1" x14ac:dyDescent="0.2">
      <c r="A593" s="134"/>
      <c r="B593" s="145"/>
      <c r="C593" s="145"/>
      <c r="D593" s="145"/>
      <c r="E593" s="13"/>
      <c r="F593" s="13"/>
      <c r="G593" s="144"/>
      <c r="H593" s="13"/>
      <c r="I593" s="13"/>
      <c r="J593" s="13"/>
      <c r="K593" s="13"/>
      <c r="L593" s="13"/>
      <c r="M593" s="13"/>
      <c r="N593" s="146"/>
      <c r="O593" s="13"/>
      <c r="P593" s="146"/>
      <c r="R593" s="129"/>
      <c r="T593" s="13"/>
    </row>
    <row r="594" spans="1:20" ht="12.75" customHeight="1" x14ac:dyDescent="0.2">
      <c r="A594" s="134"/>
      <c r="B594" s="145"/>
      <c r="C594" s="145"/>
      <c r="D594" s="145"/>
      <c r="E594" s="13"/>
      <c r="F594" s="13"/>
      <c r="G594" s="144"/>
      <c r="H594" s="13"/>
      <c r="I594" s="13"/>
      <c r="J594" s="13"/>
      <c r="K594" s="13"/>
      <c r="L594" s="13"/>
      <c r="M594" s="13"/>
      <c r="N594" s="146"/>
      <c r="O594" s="13"/>
      <c r="P594" s="146"/>
      <c r="R594" s="129"/>
      <c r="T594" s="13"/>
    </row>
    <row r="595" spans="1:20" ht="12.75" customHeight="1" x14ac:dyDescent="0.2">
      <c r="A595" s="134"/>
      <c r="B595" s="145"/>
      <c r="C595" s="145"/>
      <c r="D595" s="145"/>
      <c r="E595" s="13"/>
      <c r="F595" s="13"/>
      <c r="G595" s="144"/>
      <c r="H595" s="13"/>
      <c r="I595" s="13"/>
      <c r="J595" s="13"/>
      <c r="K595" s="13"/>
      <c r="L595" s="13"/>
      <c r="M595" s="13"/>
      <c r="N595" s="146"/>
      <c r="O595" s="13"/>
      <c r="P595" s="146"/>
      <c r="R595" s="129"/>
      <c r="T595" s="13"/>
    </row>
    <row r="596" spans="1:20" ht="12.75" customHeight="1" x14ac:dyDescent="0.2">
      <c r="A596" s="134"/>
      <c r="B596" s="145"/>
      <c r="C596" s="145"/>
      <c r="D596" s="145"/>
      <c r="E596" s="13"/>
      <c r="F596" s="13"/>
      <c r="G596" s="144"/>
      <c r="H596" s="13"/>
      <c r="I596" s="13"/>
      <c r="J596" s="13"/>
      <c r="K596" s="13"/>
      <c r="L596" s="13"/>
      <c r="M596" s="13"/>
      <c r="N596" s="146"/>
      <c r="O596" s="13"/>
      <c r="P596" s="146"/>
      <c r="R596" s="129"/>
      <c r="T596" s="13"/>
    </row>
    <row r="597" spans="1:20" ht="12.75" customHeight="1" x14ac:dyDescent="0.2">
      <c r="A597" s="134"/>
      <c r="B597" s="145"/>
      <c r="C597" s="145"/>
      <c r="D597" s="145"/>
      <c r="E597" s="13"/>
      <c r="F597" s="13"/>
      <c r="G597" s="144"/>
      <c r="H597" s="13"/>
      <c r="I597" s="13"/>
      <c r="J597" s="13"/>
      <c r="K597" s="13"/>
      <c r="L597" s="13"/>
      <c r="M597" s="13"/>
      <c r="N597" s="146"/>
      <c r="O597" s="13"/>
      <c r="P597" s="146"/>
      <c r="R597" s="129"/>
      <c r="T597" s="13"/>
    </row>
    <row r="598" spans="1:20" ht="12.75" customHeight="1" x14ac:dyDescent="0.2">
      <c r="A598" s="134"/>
      <c r="B598" s="145"/>
      <c r="C598" s="145"/>
      <c r="D598" s="145"/>
      <c r="E598" s="13"/>
      <c r="F598" s="13"/>
      <c r="G598" s="144"/>
      <c r="H598" s="13"/>
      <c r="I598" s="13"/>
      <c r="J598" s="13"/>
      <c r="K598" s="13"/>
      <c r="L598" s="13"/>
      <c r="M598" s="13"/>
      <c r="N598" s="146"/>
      <c r="O598" s="13"/>
      <c r="P598" s="146"/>
      <c r="R598" s="129"/>
      <c r="T598" s="13"/>
    </row>
    <row r="599" spans="1:20" ht="12.75" customHeight="1" x14ac:dyDescent="0.2">
      <c r="A599" s="134"/>
      <c r="B599" s="145"/>
      <c r="C599" s="145"/>
      <c r="D599" s="145"/>
      <c r="E599" s="13"/>
      <c r="F599" s="13"/>
      <c r="G599" s="144"/>
      <c r="H599" s="13"/>
      <c r="I599" s="13"/>
      <c r="J599" s="13"/>
      <c r="K599" s="13"/>
      <c r="L599" s="13"/>
      <c r="M599" s="13"/>
      <c r="N599" s="146"/>
      <c r="O599" s="13"/>
      <c r="P599" s="146"/>
      <c r="R599" s="129"/>
      <c r="T599" s="13"/>
    </row>
    <row r="600" spans="1:20" ht="12.75" customHeight="1" x14ac:dyDescent="0.2">
      <c r="A600" s="134"/>
      <c r="B600" s="145"/>
      <c r="C600" s="145"/>
      <c r="D600" s="145"/>
      <c r="E600" s="13"/>
      <c r="F600" s="13"/>
      <c r="G600" s="144"/>
      <c r="H600" s="13"/>
      <c r="I600" s="13"/>
      <c r="J600" s="13"/>
      <c r="K600" s="13"/>
      <c r="L600" s="13"/>
      <c r="M600" s="13"/>
      <c r="N600" s="146"/>
      <c r="O600" s="13"/>
      <c r="P600" s="146"/>
      <c r="R600" s="129"/>
      <c r="T600" s="13"/>
    </row>
    <row r="601" spans="1:20" ht="12.75" customHeight="1" x14ac:dyDescent="0.2">
      <c r="A601" s="134"/>
      <c r="B601" s="145"/>
      <c r="C601" s="145"/>
      <c r="D601" s="145"/>
      <c r="E601" s="13"/>
      <c r="F601" s="13"/>
      <c r="G601" s="144"/>
      <c r="H601" s="13"/>
      <c r="I601" s="13"/>
      <c r="J601" s="13"/>
      <c r="K601" s="13"/>
      <c r="L601" s="13"/>
      <c r="M601" s="13"/>
      <c r="N601" s="146"/>
      <c r="O601" s="13"/>
      <c r="P601" s="146"/>
      <c r="R601" s="129"/>
      <c r="T601" s="13"/>
    </row>
    <row r="602" spans="1:20" ht="12.75" customHeight="1" x14ac:dyDescent="0.2">
      <c r="A602" s="134"/>
      <c r="B602" s="145"/>
      <c r="C602" s="145"/>
      <c r="D602" s="145"/>
      <c r="E602" s="13"/>
      <c r="F602" s="13"/>
      <c r="G602" s="144"/>
      <c r="H602" s="13"/>
      <c r="I602" s="13"/>
      <c r="J602" s="13"/>
      <c r="K602" s="13"/>
      <c r="L602" s="13"/>
      <c r="M602" s="13"/>
      <c r="N602" s="146"/>
      <c r="O602" s="13"/>
      <c r="P602" s="146"/>
      <c r="R602" s="129"/>
      <c r="T602" s="13"/>
    </row>
    <row r="603" spans="1:20" ht="12.75" customHeight="1" x14ac:dyDescent="0.2">
      <c r="A603" s="134"/>
      <c r="B603" s="145"/>
      <c r="C603" s="145"/>
      <c r="D603" s="145"/>
      <c r="E603" s="13"/>
      <c r="F603" s="13"/>
      <c r="G603" s="144"/>
      <c r="H603" s="13"/>
      <c r="I603" s="13"/>
      <c r="J603" s="13"/>
      <c r="K603" s="13"/>
      <c r="L603" s="13"/>
      <c r="M603" s="13"/>
      <c r="N603" s="146"/>
      <c r="O603" s="13"/>
      <c r="P603" s="146"/>
      <c r="R603" s="129"/>
      <c r="T603" s="13"/>
    </row>
    <row r="604" spans="1:20" ht="12.75" customHeight="1" x14ac:dyDescent="0.2">
      <c r="A604" s="134"/>
      <c r="B604" s="145"/>
      <c r="C604" s="145"/>
      <c r="D604" s="145"/>
      <c r="E604" s="13"/>
      <c r="F604" s="13"/>
      <c r="G604" s="144"/>
      <c r="H604" s="13"/>
      <c r="I604" s="13"/>
      <c r="J604" s="13"/>
      <c r="K604" s="13"/>
      <c r="L604" s="13"/>
      <c r="M604" s="13"/>
      <c r="N604" s="146"/>
      <c r="O604" s="13"/>
      <c r="P604" s="146"/>
      <c r="R604" s="129"/>
      <c r="T604" s="13"/>
    </row>
    <row r="605" spans="1:20" ht="12.75" customHeight="1" x14ac:dyDescent="0.2">
      <c r="A605" s="134"/>
      <c r="B605" s="145"/>
      <c r="C605" s="145"/>
      <c r="D605" s="145"/>
      <c r="E605" s="13"/>
      <c r="F605" s="13"/>
      <c r="G605" s="144"/>
      <c r="H605" s="13"/>
      <c r="I605" s="13"/>
      <c r="J605" s="13"/>
      <c r="K605" s="13"/>
      <c r="L605" s="13"/>
      <c r="M605" s="13"/>
      <c r="N605" s="146"/>
      <c r="O605" s="13"/>
      <c r="P605" s="146"/>
      <c r="R605" s="129"/>
      <c r="T605" s="13"/>
    </row>
    <row r="606" spans="1:20" ht="12.75" customHeight="1" x14ac:dyDescent="0.2">
      <c r="A606" s="134"/>
      <c r="B606" s="145"/>
      <c r="C606" s="145"/>
      <c r="D606" s="145"/>
      <c r="E606" s="13"/>
      <c r="F606" s="13"/>
      <c r="G606" s="144"/>
      <c r="H606" s="13"/>
      <c r="I606" s="13"/>
      <c r="J606" s="13"/>
      <c r="K606" s="13"/>
      <c r="L606" s="13"/>
      <c r="M606" s="13"/>
      <c r="N606" s="146"/>
      <c r="O606" s="13"/>
      <c r="P606" s="146"/>
      <c r="R606" s="129"/>
      <c r="T606" s="13"/>
    </row>
    <row r="607" spans="1:20" ht="12.75" customHeight="1" x14ac:dyDescent="0.2">
      <c r="A607" s="134"/>
      <c r="B607" s="145"/>
      <c r="C607" s="145"/>
      <c r="D607" s="145"/>
      <c r="E607" s="13"/>
      <c r="F607" s="13"/>
      <c r="G607" s="144"/>
      <c r="H607" s="13"/>
      <c r="I607" s="13"/>
      <c r="J607" s="13"/>
      <c r="K607" s="13"/>
      <c r="L607" s="13"/>
      <c r="M607" s="13"/>
      <c r="N607" s="146"/>
      <c r="O607" s="13"/>
      <c r="P607" s="146"/>
      <c r="R607" s="129"/>
      <c r="T607" s="13"/>
    </row>
    <row r="608" spans="1:20" ht="12.75" customHeight="1" x14ac:dyDescent="0.2">
      <c r="A608" s="134"/>
      <c r="B608" s="145"/>
      <c r="C608" s="145"/>
      <c r="D608" s="145"/>
      <c r="E608" s="13"/>
      <c r="F608" s="13"/>
      <c r="G608" s="144"/>
      <c r="H608" s="13"/>
      <c r="I608" s="13"/>
      <c r="J608" s="13"/>
      <c r="K608" s="13"/>
      <c r="L608" s="13"/>
      <c r="M608" s="13"/>
      <c r="N608" s="146"/>
      <c r="O608" s="13"/>
      <c r="P608" s="146"/>
      <c r="R608" s="129"/>
      <c r="T608" s="13"/>
    </row>
    <row r="609" spans="1:20" ht="12.75" customHeight="1" x14ac:dyDescent="0.2">
      <c r="A609" s="134"/>
      <c r="B609" s="145"/>
      <c r="C609" s="145"/>
      <c r="D609" s="145"/>
      <c r="E609" s="13"/>
      <c r="F609" s="13"/>
      <c r="G609" s="144"/>
      <c r="H609" s="13"/>
      <c r="I609" s="13"/>
      <c r="J609" s="13"/>
      <c r="K609" s="13"/>
      <c r="L609" s="13"/>
      <c r="M609" s="13"/>
      <c r="N609" s="146"/>
      <c r="O609" s="13"/>
      <c r="P609" s="146"/>
      <c r="R609" s="129"/>
      <c r="T609" s="13"/>
    </row>
    <row r="610" spans="1:20" ht="12.75" customHeight="1" x14ac:dyDescent="0.2">
      <c r="A610" s="134"/>
      <c r="B610" s="145"/>
      <c r="C610" s="145"/>
      <c r="D610" s="145"/>
      <c r="E610" s="13"/>
      <c r="F610" s="13"/>
      <c r="G610" s="144"/>
      <c r="H610" s="13"/>
      <c r="I610" s="13"/>
      <c r="J610" s="13"/>
      <c r="K610" s="13"/>
      <c r="L610" s="13"/>
      <c r="M610" s="13"/>
      <c r="N610" s="146"/>
      <c r="O610" s="13"/>
      <c r="P610" s="146"/>
      <c r="R610" s="129"/>
      <c r="T610" s="13"/>
    </row>
    <row r="611" spans="1:20" ht="12.75" customHeight="1" x14ac:dyDescent="0.2">
      <c r="A611" s="134"/>
      <c r="B611" s="145"/>
      <c r="C611" s="145"/>
      <c r="D611" s="145"/>
      <c r="E611" s="13"/>
      <c r="F611" s="13"/>
      <c r="G611" s="144"/>
      <c r="H611" s="13"/>
      <c r="I611" s="13"/>
      <c r="J611" s="13"/>
      <c r="K611" s="13"/>
      <c r="L611" s="13"/>
      <c r="M611" s="13"/>
      <c r="N611" s="146"/>
      <c r="O611" s="13"/>
      <c r="P611" s="146"/>
      <c r="R611" s="129"/>
      <c r="T611" s="13"/>
    </row>
    <row r="612" spans="1:20" ht="12.75" customHeight="1" x14ac:dyDescent="0.2">
      <c r="A612" s="134"/>
      <c r="B612" s="145"/>
      <c r="C612" s="145"/>
      <c r="D612" s="145"/>
      <c r="E612" s="13"/>
      <c r="F612" s="13"/>
      <c r="G612" s="144"/>
      <c r="H612" s="13"/>
      <c r="I612" s="13"/>
      <c r="J612" s="13"/>
      <c r="K612" s="13"/>
      <c r="L612" s="13"/>
      <c r="M612" s="13"/>
      <c r="N612" s="146"/>
      <c r="O612" s="13"/>
      <c r="P612" s="146"/>
      <c r="R612" s="129"/>
      <c r="T612" s="13"/>
    </row>
    <row r="613" spans="1:20" ht="12.75" customHeight="1" x14ac:dyDescent="0.2">
      <c r="A613" s="134"/>
      <c r="B613" s="145"/>
      <c r="C613" s="145"/>
      <c r="D613" s="145"/>
      <c r="E613" s="13"/>
      <c r="F613" s="13"/>
      <c r="G613" s="144"/>
      <c r="H613" s="13"/>
      <c r="I613" s="13"/>
      <c r="J613" s="13"/>
      <c r="K613" s="13"/>
      <c r="L613" s="13"/>
      <c r="M613" s="13"/>
      <c r="N613" s="146"/>
      <c r="O613" s="13"/>
      <c r="P613" s="146"/>
      <c r="R613" s="129"/>
      <c r="T613" s="13"/>
    </row>
    <row r="614" spans="1:20" ht="12.75" customHeight="1" x14ac:dyDescent="0.2">
      <c r="A614" s="134"/>
      <c r="B614" s="145"/>
      <c r="C614" s="145"/>
      <c r="D614" s="145"/>
      <c r="E614" s="13"/>
      <c r="F614" s="13"/>
      <c r="G614" s="144"/>
      <c r="H614" s="13"/>
      <c r="I614" s="13"/>
      <c r="J614" s="13"/>
      <c r="K614" s="13"/>
      <c r="L614" s="13"/>
      <c r="M614" s="13"/>
      <c r="N614" s="146"/>
      <c r="O614" s="13"/>
      <c r="P614" s="146"/>
      <c r="R614" s="129"/>
      <c r="T614" s="13"/>
    </row>
    <row r="615" spans="1:20" ht="12.75" customHeight="1" x14ac:dyDescent="0.2">
      <c r="A615" s="134"/>
      <c r="B615" s="145"/>
      <c r="C615" s="145"/>
      <c r="D615" s="145"/>
      <c r="E615" s="13"/>
      <c r="F615" s="13"/>
      <c r="G615" s="144"/>
      <c r="H615" s="13"/>
      <c r="I615" s="13"/>
      <c r="J615" s="13"/>
      <c r="K615" s="13"/>
      <c r="L615" s="13"/>
      <c r="M615" s="13"/>
      <c r="N615" s="146"/>
      <c r="O615" s="13"/>
      <c r="P615" s="146"/>
      <c r="R615" s="129"/>
      <c r="T615" s="13"/>
    </row>
    <row r="616" spans="1:20" ht="12.75" customHeight="1" x14ac:dyDescent="0.2">
      <c r="A616" s="134"/>
      <c r="B616" s="145"/>
      <c r="C616" s="145"/>
      <c r="D616" s="145"/>
      <c r="E616" s="13"/>
      <c r="F616" s="13"/>
      <c r="G616" s="144"/>
      <c r="H616" s="13"/>
      <c r="I616" s="13"/>
      <c r="J616" s="13"/>
      <c r="K616" s="13"/>
      <c r="L616" s="13"/>
      <c r="M616" s="13"/>
      <c r="N616" s="146"/>
      <c r="O616" s="13"/>
      <c r="P616" s="146"/>
      <c r="R616" s="129"/>
      <c r="T616" s="13"/>
    </row>
    <row r="617" spans="1:20" ht="12.75" customHeight="1" x14ac:dyDescent="0.2">
      <c r="A617" s="134"/>
      <c r="B617" s="145"/>
      <c r="C617" s="145"/>
      <c r="D617" s="145"/>
      <c r="E617" s="13"/>
      <c r="F617" s="13"/>
      <c r="G617" s="144"/>
      <c r="H617" s="13"/>
      <c r="I617" s="13"/>
      <c r="J617" s="13"/>
      <c r="K617" s="13"/>
      <c r="L617" s="13"/>
      <c r="M617" s="13"/>
      <c r="N617" s="146"/>
      <c r="O617" s="13"/>
      <c r="P617" s="146"/>
      <c r="R617" s="129"/>
      <c r="T617" s="13"/>
    </row>
    <row r="618" spans="1:20" ht="12.75" customHeight="1" x14ac:dyDescent="0.2">
      <c r="A618" s="134"/>
      <c r="B618" s="145"/>
      <c r="C618" s="145"/>
      <c r="D618" s="145"/>
      <c r="E618" s="13"/>
      <c r="F618" s="13"/>
      <c r="G618" s="144"/>
      <c r="H618" s="13"/>
      <c r="I618" s="13"/>
      <c r="J618" s="13"/>
      <c r="K618" s="13"/>
      <c r="L618" s="13"/>
      <c r="M618" s="13"/>
      <c r="N618" s="146"/>
      <c r="O618" s="13"/>
      <c r="P618" s="146"/>
      <c r="R618" s="129"/>
      <c r="T618" s="13"/>
    </row>
    <row r="619" spans="1:20" ht="12.75" customHeight="1" x14ac:dyDescent="0.2">
      <c r="A619" s="134"/>
      <c r="B619" s="145"/>
      <c r="C619" s="145"/>
      <c r="D619" s="145"/>
      <c r="E619" s="13"/>
      <c r="F619" s="13"/>
      <c r="G619" s="144"/>
      <c r="H619" s="13"/>
      <c r="I619" s="13"/>
      <c r="J619" s="13"/>
      <c r="K619" s="13"/>
      <c r="L619" s="13"/>
      <c r="M619" s="13"/>
      <c r="N619" s="146"/>
      <c r="O619" s="13"/>
      <c r="P619" s="146"/>
      <c r="R619" s="129"/>
      <c r="T619" s="13"/>
    </row>
    <row r="620" spans="1:20" ht="12.75" customHeight="1" x14ac:dyDescent="0.2">
      <c r="A620" s="134"/>
      <c r="B620" s="145"/>
      <c r="C620" s="145"/>
      <c r="D620" s="145"/>
      <c r="E620" s="13"/>
      <c r="F620" s="13"/>
      <c r="G620" s="144"/>
      <c r="H620" s="13"/>
      <c r="I620" s="13"/>
      <c r="J620" s="13"/>
      <c r="K620" s="13"/>
      <c r="L620" s="13"/>
      <c r="M620" s="13"/>
      <c r="N620" s="146"/>
      <c r="O620" s="13"/>
      <c r="P620" s="146"/>
      <c r="R620" s="129"/>
      <c r="T620" s="13"/>
    </row>
    <row r="621" spans="1:20" ht="12.75" customHeight="1" x14ac:dyDescent="0.2">
      <c r="A621" s="134"/>
      <c r="B621" s="145"/>
      <c r="C621" s="145"/>
      <c r="D621" s="145"/>
      <c r="E621" s="13"/>
      <c r="F621" s="13"/>
      <c r="G621" s="144"/>
      <c r="H621" s="13"/>
      <c r="I621" s="13"/>
      <c r="J621" s="13"/>
      <c r="K621" s="13"/>
      <c r="L621" s="13"/>
      <c r="M621" s="13"/>
      <c r="N621" s="146"/>
      <c r="O621" s="13"/>
      <c r="P621" s="146"/>
      <c r="R621" s="129"/>
      <c r="T621" s="13"/>
    </row>
    <row r="622" spans="1:20" ht="12.75" customHeight="1" x14ac:dyDescent="0.2">
      <c r="A622" s="134"/>
      <c r="B622" s="145"/>
      <c r="C622" s="145"/>
      <c r="D622" s="145"/>
      <c r="E622" s="13"/>
      <c r="F622" s="13"/>
      <c r="G622" s="144"/>
      <c r="H622" s="13"/>
      <c r="I622" s="13"/>
      <c r="J622" s="13"/>
      <c r="K622" s="13"/>
      <c r="L622" s="13"/>
      <c r="M622" s="13"/>
      <c r="N622" s="146"/>
      <c r="O622" s="13"/>
      <c r="P622" s="146"/>
      <c r="R622" s="129"/>
      <c r="T622" s="13"/>
    </row>
    <row r="623" spans="1:20" ht="12.75" customHeight="1" x14ac:dyDescent="0.2">
      <c r="A623" s="134"/>
      <c r="B623" s="145"/>
      <c r="C623" s="145"/>
      <c r="D623" s="145"/>
      <c r="E623" s="13"/>
      <c r="F623" s="13"/>
      <c r="G623" s="144"/>
      <c r="H623" s="13"/>
      <c r="I623" s="13"/>
      <c r="J623" s="13"/>
      <c r="K623" s="13"/>
      <c r="L623" s="13"/>
      <c r="M623" s="13"/>
      <c r="N623" s="146"/>
      <c r="O623" s="13"/>
      <c r="P623" s="146"/>
      <c r="R623" s="129"/>
      <c r="T623" s="13"/>
    </row>
    <row r="624" spans="1:20" ht="12.75" customHeight="1" x14ac:dyDescent="0.2">
      <c r="A624" s="134"/>
      <c r="B624" s="145"/>
      <c r="C624" s="145"/>
      <c r="D624" s="145"/>
      <c r="E624" s="13"/>
      <c r="F624" s="13"/>
      <c r="G624" s="144"/>
      <c r="H624" s="13"/>
      <c r="I624" s="13"/>
      <c r="J624" s="13"/>
      <c r="K624" s="13"/>
      <c r="L624" s="13"/>
      <c r="M624" s="13"/>
      <c r="N624" s="146"/>
      <c r="O624" s="13"/>
      <c r="P624" s="146"/>
      <c r="R624" s="129"/>
      <c r="T624" s="13"/>
    </row>
    <row r="625" spans="1:20" ht="12.75" customHeight="1" x14ac:dyDescent="0.2">
      <c r="A625" s="134"/>
      <c r="B625" s="145"/>
      <c r="C625" s="145"/>
      <c r="D625" s="145"/>
      <c r="E625" s="13"/>
      <c r="F625" s="13"/>
      <c r="G625" s="144"/>
      <c r="H625" s="13"/>
      <c r="I625" s="13"/>
      <c r="J625" s="13"/>
      <c r="K625" s="13"/>
      <c r="L625" s="13"/>
      <c r="M625" s="13"/>
      <c r="N625" s="146"/>
      <c r="O625" s="13"/>
      <c r="P625" s="146"/>
      <c r="R625" s="129"/>
      <c r="T625" s="13"/>
    </row>
    <row r="626" spans="1:20" ht="12.75" customHeight="1" x14ac:dyDescent="0.2">
      <c r="A626" s="134"/>
      <c r="B626" s="145"/>
      <c r="C626" s="145"/>
      <c r="D626" s="145"/>
      <c r="E626" s="13"/>
      <c r="F626" s="13"/>
      <c r="G626" s="144"/>
      <c r="H626" s="13"/>
      <c r="I626" s="13"/>
      <c r="J626" s="13"/>
      <c r="K626" s="13"/>
      <c r="L626" s="13"/>
      <c r="M626" s="13"/>
      <c r="N626" s="146"/>
      <c r="O626" s="13"/>
      <c r="P626" s="146"/>
      <c r="R626" s="129"/>
      <c r="T626" s="13"/>
    </row>
    <row r="627" spans="1:20" ht="12.75" customHeight="1" x14ac:dyDescent="0.2">
      <c r="A627" s="134"/>
      <c r="B627" s="145"/>
      <c r="C627" s="145"/>
      <c r="D627" s="145"/>
      <c r="E627" s="13"/>
      <c r="F627" s="13"/>
      <c r="G627" s="144"/>
      <c r="H627" s="13"/>
      <c r="I627" s="13"/>
      <c r="J627" s="13"/>
      <c r="K627" s="13"/>
      <c r="L627" s="13"/>
      <c r="M627" s="13"/>
      <c r="N627" s="146"/>
      <c r="O627" s="13"/>
      <c r="P627" s="146"/>
      <c r="R627" s="129"/>
      <c r="T627" s="13"/>
    </row>
    <row r="628" spans="1:20" ht="12.75" customHeight="1" x14ac:dyDescent="0.2">
      <c r="A628" s="134"/>
      <c r="B628" s="145"/>
      <c r="C628" s="145"/>
      <c r="D628" s="145"/>
      <c r="E628" s="13"/>
      <c r="F628" s="13"/>
      <c r="G628" s="144"/>
      <c r="H628" s="13"/>
      <c r="I628" s="13"/>
      <c r="J628" s="13"/>
      <c r="K628" s="13"/>
      <c r="L628" s="13"/>
      <c r="M628" s="13"/>
      <c r="N628" s="146"/>
      <c r="O628" s="13"/>
      <c r="P628" s="146"/>
      <c r="R628" s="129"/>
      <c r="T628" s="13"/>
    </row>
    <row r="629" spans="1:20" ht="12.75" customHeight="1" x14ac:dyDescent="0.2">
      <c r="A629" s="134"/>
      <c r="B629" s="145"/>
      <c r="C629" s="145"/>
      <c r="D629" s="145"/>
      <c r="E629" s="13"/>
      <c r="F629" s="13"/>
      <c r="G629" s="144"/>
      <c r="H629" s="13"/>
      <c r="I629" s="13"/>
      <c r="J629" s="13"/>
      <c r="K629" s="13"/>
      <c r="L629" s="13"/>
      <c r="M629" s="13"/>
      <c r="N629" s="146"/>
      <c r="O629" s="13"/>
      <c r="P629" s="146"/>
      <c r="R629" s="129"/>
      <c r="T629" s="13"/>
    </row>
    <row r="630" spans="1:20" ht="12.75" customHeight="1" x14ac:dyDescent="0.2">
      <c r="A630" s="134"/>
      <c r="B630" s="145"/>
      <c r="C630" s="145"/>
      <c r="D630" s="145"/>
      <c r="E630" s="13"/>
      <c r="F630" s="13"/>
      <c r="G630" s="144"/>
      <c r="H630" s="13"/>
      <c r="I630" s="13"/>
      <c r="J630" s="13"/>
      <c r="K630" s="13"/>
      <c r="L630" s="13"/>
      <c r="M630" s="13"/>
      <c r="N630" s="146"/>
      <c r="O630" s="13"/>
      <c r="P630" s="146"/>
      <c r="R630" s="129"/>
      <c r="T630" s="13"/>
    </row>
    <row r="631" spans="1:20" ht="12.75" customHeight="1" x14ac:dyDescent="0.2">
      <c r="A631" s="134"/>
      <c r="B631" s="145"/>
      <c r="C631" s="145"/>
      <c r="D631" s="145"/>
      <c r="E631" s="13"/>
      <c r="F631" s="13"/>
      <c r="G631" s="144"/>
      <c r="H631" s="13"/>
      <c r="I631" s="13"/>
      <c r="J631" s="13"/>
      <c r="K631" s="13"/>
      <c r="L631" s="13"/>
      <c r="M631" s="13"/>
      <c r="N631" s="146"/>
      <c r="O631" s="13"/>
      <c r="P631" s="146"/>
      <c r="R631" s="129"/>
      <c r="T631" s="13"/>
    </row>
    <row r="632" spans="1:20" ht="12.75" customHeight="1" x14ac:dyDescent="0.2">
      <c r="A632" s="134"/>
      <c r="B632" s="145"/>
      <c r="C632" s="145"/>
      <c r="D632" s="145"/>
      <c r="E632" s="13"/>
      <c r="F632" s="13"/>
      <c r="G632" s="144"/>
      <c r="H632" s="13"/>
      <c r="I632" s="13"/>
      <c r="J632" s="13"/>
      <c r="K632" s="13"/>
      <c r="L632" s="13"/>
      <c r="M632" s="13"/>
      <c r="N632" s="146"/>
      <c r="O632" s="13"/>
      <c r="P632" s="146"/>
      <c r="R632" s="129"/>
      <c r="T632" s="13"/>
    </row>
    <row r="633" spans="1:20" ht="12.75" customHeight="1" x14ac:dyDescent="0.2">
      <c r="A633" s="134"/>
      <c r="B633" s="145"/>
      <c r="C633" s="145"/>
      <c r="D633" s="145"/>
      <c r="E633" s="13"/>
      <c r="F633" s="13"/>
      <c r="G633" s="144"/>
      <c r="H633" s="13"/>
      <c r="I633" s="13"/>
      <c r="J633" s="13"/>
      <c r="K633" s="13"/>
      <c r="L633" s="13"/>
      <c r="M633" s="13"/>
      <c r="N633" s="146"/>
      <c r="O633" s="13"/>
      <c r="P633" s="146"/>
      <c r="R633" s="129"/>
      <c r="T633" s="13"/>
    </row>
    <row r="634" spans="1:20" ht="12.75" customHeight="1" x14ac:dyDescent="0.2">
      <c r="A634" s="134"/>
      <c r="B634" s="145"/>
      <c r="C634" s="145"/>
      <c r="D634" s="145"/>
      <c r="E634" s="13"/>
      <c r="F634" s="13"/>
      <c r="G634" s="144"/>
      <c r="H634" s="13"/>
      <c r="I634" s="13"/>
      <c r="J634" s="13"/>
      <c r="K634" s="13"/>
      <c r="L634" s="13"/>
      <c r="M634" s="13"/>
      <c r="N634" s="146"/>
      <c r="O634" s="13"/>
      <c r="P634" s="146"/>
      <c r="R634" s="129"/>
      <c r="T634" s="13"/>
    </row>
    <row r="635" spans="1:20" ht="12.75" customHeight="1" x14ac:dyDescent="0.2">
      <c r="A635" s="134"/>
      <c r="B635" s="145"/>
      <c r="C635" s="145"/>
      <c r="D635" s="145"/>
      <c r="E635" s="13"/>
      <c r="F635" s="13"/>
      <c r="G635" s="144"/>
      <c r="H635" s="13"/>
      <c r="I635" s="13"/>
      <c r="J635" s="13"/>
      <c r="K635" s="13"/>
      <c r="L635" s="13"/>
      <c r="M635" s="13"/>
      <c r="N635" s="146"/>
      <c r="O635" s="13"/>
      <c r="P635" s="146"/>
      <c r="R635" s="129"/>
      <c r="T635" s="13"/>
    </row>
    <row r="636" spans="1:20" ht="12.75" customHeight="1" x14ac:dyDescent="0.2">
      <c r="A636" s="134"/>
      <c r="B636" s="145"/>
      <c r="C636" s="145"/>
      <c r="D636" s="145"/>
      <c r="E636" s="13"/>
      <c r="F636" s="13"/>
      <c r="G636" s="144"/>
      <c r="H636" s="13"/>
      <c r="I636" s="13"/>
      <c r="J636" s="13"/>
      <c r="K636" s="13"/>
      <c r="L636" s="13"/>
      <c r="M636" s="13"/>
      <c r="N636" s="146"/>
      <c r="O636" s="13"/>
      <c r="P636" s="146"/>
      <c r="R636" s="129"/>
      <c r="T636" s="13"/>
    </row>
    <row r="637" spans="1:20" ht="12.75" customHeight="1" x14ac:dyDescent="0.2">
      <c r="A637" s="134"/>
      <c r="B637" s="145"/>
      <c r="C637" s="145"/>
      <c r="D637" s="145"/>
      <c r="E637" s="13"/>
      <c r="F637" s="13"/>
      <c r="G637" s="144"/>
      <c r="H637" s="13"/>
      <c r="I637" s="13"/>
      <c r="J637" s="13"/>
      <c r="K637" s="13"/>
      <c r="L637" s="13"/>
      <c r="M637" s="13"/>
      <c r="N637" s="146"/>
      <c r="O637" s="13"/>
      <c r="P637" s="146"/>
      <c r="R637" s="129"/>
      <c r="T637" s="13"/>
    </row>
    <row r="638" spans="1:20" ht="12.75" customHeight="1" x14ac:dyDescent="0.2">
      <c r="A638" s="134"/>
      <c r="B638" s="145"/>
      <c r="C638" s="145"/>
      <c r="D638" s="145"/>
      <c r="E638" s="13"/>
      <c r="F638" s="13"/>
      <c r="G638" s="144"/>
      <c r="H638" s="13"/>
      <c r="I638" s="13"/>
      <c r="J638" s="13"/>
      <c r="K638" s="13"/>
      <c r="L638" s="13"/>
      <c r="M638" s="13"/>
      <c r="N638" s="146"/>
      <c r="O638" s="13"/>
      <c r="P638" s="146"/>
      <c r="R638" s="129"/>
      <c r="T638" s="13"/>
    </row>
    <row r="639" spans="1:20" ht="12.75" customHeight="1" x14ac:dyDescent="0.2">
      <c r="A639" s="134"/>
      <c r="B639" s="145"/>
      <c r="C639" s="145"/>
      <c r="D639" s="145"/>
      <c r="E639" s="13"/>
      <c r="F639" s="13"/>
      <c r="G639" s="144"/>
      <c r="H639" s="13"/>
      <c r="I639" s="13"/>
      <c r="J639" s="13"/>
      <c r="K639" s="13"/>
      <c r="L639" s="13"/>
      <c r="M639" s="13"/>
      <c r="N639" s="146"/>
      <c r="O639" s="13"/>
      <c r="P639" s="146"/>
      <c r="R639" s="129"/>
      <c r="T639" s="13"/>
    </row>
    <row r="640" spans="1:20" ht="12.75" customHeight="1" x14ac:dyDescent="0.2">
      <c r="A640" s="134"/>
      <c r="B640" s="145"/>
      <c r="C640" s="145"/>
      <c r="D640" s="145"/>
      <c r="E640" s="13"/>
      <c r="F640" s="13"/>
      <c r="G640" s="144"/>
      <c r="H640" s="13"/>
      <c r="I640" s="13"/>
      <c r="J640" s="13"/>
      <c r="K640" s="13"/>
      <c r="L640" s="13"/>
      <c r="M640" s="13"/>
      <c r="N640" s="146"/>
      <c r="O640" s="13"/>
      <c r="P640" s="146"/>
      <c r="R640" s="129"/>
      <c r="T640" s="13"/>
    </row>
    <row r="641" spans="1:20" ht="12.75" customHeight="1" x14ac:dyDescent="0.2">
      <c r="A641" s="134"/>
      <c r="B641" s="145"/>
      <c r="C641" s="145"/>
      <c r="D641" s="145"/>
      <c r="E641" s="13"/>
      <c r="F641" s="13"/>
      <c r="G641" s="144"/>
      <c r="H641" s="13"/>
      <c r="I641" s="13"/>
      <c r="J641" s="13"/>
      <c r="K641" s="13"/>
      <c r="L641" s="13"/>
      <c r="M641" s="13"/>
      <c r="N641" s="146"/>
      <c r="O641" s="13"/>
      <c r="P641" s="146"/>
      <c r="R641" s="129"/>
      <c r="T641" s="13"/>
    </row>
    <row r="642" spans="1:20" ht="12.75" customHeight="1" x14ac:dyDescent="0.2">
      <c r="A642" s="134"/>
      <c r="B642" s="145"/>
      <c r="C642" s="145"/>
      <c r="D642" s="145"/>
      <c r="E642" s="13"/>
      <c r="F642" s="13"/>
      <c r="G642" s="144"/>
      <c r="H642" s="13"/>
      <c r="I642" s="13"/>
      <c r="J642" s="13"/>
      <c r="K642" s="13"/>
      <c r="L642" s="13"/>
      <c r="M642" s="13"/>
      <c r="N642" s="146"/>
      <c r="O642" s="13"/>
      <c r="P642" s="146"/>
      <c r="R642" s="129"/>
      <c r="T642" s="13"/>
    </row>
    <row r="643" spans="1:20" ht="12.75" customHeight="1" x14ac:dyDescent="0.2">
      <c r="A643" s="134"/>
      <c r="B643" s="145"/>
      <c r="C643" s="145"/>
      <c r="D643" s="145"/>
      <c r="E643" s="13"/>
      <c r="F643" s="13"/>
      <c r="G643" s="144"/>
      <c r="H643" s="13"/>
      <c r="I643" s="13"/>
      <c r="J643" s="13"/>
      <c r="K643" s="13"/>
      <c r="L643" s="13"/>
      <c r="M643" s="13"/>
      <c r="N643" s="146"/>
      <c r="O643" s="13"/>
      <c r="P643" s="146"/>
      <c r="R643" s="129"/>
      <c r="T643" s="13"/>
    </row>
    <row r="644" spans="1:20" ht="12.75" customHeight="1" x14ac:dyDescent="0.2">
      <c r="A644" s="134"/>
      <c r="B644" s="145"/>
      <c r="C644" s="145"/>
      <c r="D644" s="145"/>
      <c r="E644" s="13"/>
      <c r="F644" s="13"/>
      <c r="G644" s="144"/>
      <c r="H644" s="13"/>
      <c r="I644" s="13"/>
      <c r="J644" s="13"/>
      <c r="K644" s="13"/>
      <c r="L644" s="13"/>
      <c r="M644" s="13"/>
      <c r="N644" s="146"/>
      <c r="O644" s="13"/>
      <c r="P644" s="146"/>
      <c r="R644" s="129"/>
      <c r="T644" s="13"/>
    </row>
    <row r="645" spans="1:20" ht="12.75" customHeight="1" x14ac:dyDescent="0.2">
      <c r="A645" s="134"/>
      <c r="B645" s="145"/>
      <c r="C645" s="145"/>
      <c r="D645" s="145"/>
      <c r="E645" s="13"/>
      <c r="F645" s="13"/>
      <c r="G645" s="144"/>
      <c r="H645" s="13"/>
      <c r="I645" s="13"/>
      <c r="J645" s="13"/>
      <c r="K645" s="13"/>
      <c r="L645" s="13"/>
      <c r="M645" s="13"/>
      <c r="N645" s="146"/>
      <c r="O645" s="13"/>
      <c r="P645" s="146"/>
      <c r="R645" s="129"/>
      <c r="T645" s="13"/>
    </row>
    <row r="646" spans="1:20" ht="12.75" customHeight="1" x14ac:dyDescent="0.2">
      <c r="A646" s="134"/>
      <c r="B646" s="145"/>
      <c r="C646" s="145"/>
      <c r="D646" s="145"/>
      <c r="E646" s="13"/>
      <c r="F646" s="13"/>
      <c r="G646" s="144"/>
      <c r="H646" s="13"/>
      <c r="I646" s="13"/>
      <c r="J646" s="13"/>
      <c r="K646" s="13"/>
      <c r="L646" s="13"/>
      <c r="M646" s="13"/>
      <c r="N646" s="146"/>
      <c r="O646" s="13"/>
      <c r="P646" s="146"/>
      <c r="R646" s="129"/>
      <c r="T646" s="13"/>
    </row>
    <row r="647" spans="1:20" ht="12.75" customHeight="1" x14ac:dyDescent="0.2">
      <c r="A647" s="134"/>
      <c r="B647" s="145"/>
      <c r="C647" s="145"/>
      <c r="D647" s="145"/>
      <c r="E647" s="13"/>
      <c r="F647" s="13"/>
      <c r="G647" s="144"/>
      <c r="H647" s="13"/>
      <c r="I647" s="13"/>
      <c r="J647" s="13"/>
      <c r="K647" s="13"/>
      <c r="L647" s="13"/>
      <c r="M647" s="13"/>
      <c r="N647" s="146"/>
      <c r="O647" s="13"/>
      <c r="P647" s="146"/>
      <c r="R647" s="129"/>
      <c r="T647" s="13"/>
    </row>
    <row r="648" spans="1:20" ht="12.75" customHeight="1" x14ac:dyDescent="0.2">
      <c r="A648" s="134"/>
      <c r="B648" s="145"/>
      <c r="C648" s="145"/>
      <c r="D648" s="145"/>
      <c r="E648" s="13"/>
      <c r="F648" s="13"/>
      <c r="G648" s="144"/>
      <c r="H648" s="13"/>
      <c r="I648" s="13"/>
      <c r="J648" s="13"/>
      <c r="K648" s="13"/>
      <c r="L648" s="13"/>
      <c r="M648" s="13"/>
      <c r="N648" s="146"/>
      <c r="O648" s="13"/>
      <c r="P648" s="146"/>
      <c r="R648" s="129"/>
      <c r="T648" s="13"/>
    </row>
    <row r="649" spans="1:20" ht="12.75" customHeight="1" x14ac:dyDescent="0.2">
      <c r="A649" s="134"/>
      <c r="B649" s="145"/>
      <c r="C649" s="145"/>
      <c r="D649" s="145"/>
      <c r="E649" s="13"/>
      <c r="F649" s="13"/>
      <c r="G649" s="144"/>
      <c r="H649" s="13"/>
      <c r="I649" s="13"/>
      <c r="J649" s="13"/>
      <c r="K649" s="13"/>
      <c r="L649" s="13"/>
      <c r="M649" s="13"/>
      <c r="N649" s="146"/>
      <c r="O649" s="13"/>
      <c r="P649" s="146"/>
      <c r="R649" s="129"/>
      <c r="T649" s="13"/>
    </row>
    <row r="650" spans="1:20" ht="12.75" customHeight="1" x14ac:dyDescent="0.2">
      <c r="A650" s="134"/>
      <c r="B650" s="145"/>
      <c r="C650" s="145"/>
      <c r="D650" s="145"/>
      <c r="E650" s="13"/>
      <c r="F650" s="13"/>
      <c r="G650" s="144"/>
      <c r="H650" s="13"/>
      <c r="I650" s="13"/>
      <c r="J650" s="13"/>
      <c r="K650" s="13"/>
      <c r="L650" s="13"/>
      <c r="M650" s="13"/>
      <c r="N650" s="146"/>
      <c r="O650" s="13"/>
      <c r="P650" s="146"/>
      <c r="R650" s="129"/>
      <c r="T650" s="13"/>
    </row>
    <row r="651" spans="1:20" ht="12.75" customHeight="1" x14ac:dyDescent="0.2">
      <c r="A651" s="134"/>
      <c r="B651" s="145"/>
      <c r="C651" s="145"/>
      <c r="D651" s="145"/>
      <c r="E651" s="13"/>
      <c r="F651" s="13"/>
      <c r="G651" s="144"/>
      <c r="H651" s="13"/>
      <c r="I651" s="13"/>
      <c r="J651" s="13"/>
      <c r="K651" s="13"/>
      <c r="L651" s="13"/>
      <c r="M651" s="13"/>
      <c r="N651" s="146"/>
      <c r="O651" s="13"/>
      <c r="P651" s="146"/>
      <c r="R651" s="129"/>
      <c r="T651" s="13"/>
    </row>
    <row r="652" spans="1:20" ht="12.75" customHeight="1" x14ac:dyDescent="0.2">
      <c r="A652" s="134"/>
      <c r="B652" s="145"/>
      <c r="C652" s="145"/>
      <c r="D652" s="145"/>
      <c r="E652" s="13"/>
      <c r="F652" s="13"/>
      <c r="G652" s="144"/>
      <c r="H652" s="13"/>
      <c r="I652" s="13"/>
      <c r="J652" s="13"/>
      <c r="K652" s="13"/>
      <c r="L652" s="13"/>
      <c r="M652" s="13"/>
      <c r="N652" s="146"/>
      <c r="O652" s="13"/>
      <c r="P652" s="146"/>
      <c r="R652" s="129"/>
      <c r="T652" s="13"/>
    </row>
    <row r="653" spans="1:20" ht="12.75" customHeight="1" x14ac:dyDescent="0.2">
      <c r="A653" s="134"/>
      <c r="B653" s="145"/>
      <c r="C653" s="145"/>
      <c r="D653" s="145"/>
      <c r="E653" s="13"/>
      <c r="F653" s="13"/>
      <c r="G653" s="144"/>
      <c r="H653" s="13"/>
      <c r="I653" s="13"/>
      <c r="J653" s="13"/>
      <c r="K653" s="13"/>
      <c r="L653" s="13"/>
      <c r="M653" s="13"/>
      <c r="N653" s="146"/>
      <c r="O653" s="13"/>
      <c r="P653" s="146"/>
      <c r="R653" s="129"/>
      <c r="T653" s="13"/>
    </row>
    <row r="654" spans="1:20" ht="12.75" customHeight="1" x14ac:dyDescent="0.2">
      <c r="A654" s="134"/>
      <c r="B654" s="145"/>
      <c r="C654" s="145"/>
      <c r="D654" s="145"/>
      <c r="E654" s="13"/>
      <c r="F654" s="13"/>
      <c r="G654" s="144"/>
      <c r="H654" s="13"/>
      <c r="I654" s="13"/>
      <c r="J654" s="13"/>
      <c r="K654" s="13"/>
      <c r="L654" s="13"/>
      <c r="M654" s="13"/>
      <c r="N654" s="146"/>
      <c r="O654" s="13"/>
      <c r="P654" s="146"/>
      <c r="R654" s="129"/>
      <c r="T654" s="13"/>
    </row>
    <row r="655" spans="1:20" ht="12.75" customHeight="1" x14ac:dyDescent="0.2">
      <c r="A655" s="134"/>
      <c r="B655" s="145"/>
      <c r="C655" s="145"/>
      <c r="D655" s="145"/>
      <c r="E655" s="13"/>
      <c r="F655" s="13"/>
      <c r="G655" s="144"/>
      <c r="H655" s="13"/>
      <c r="I655" s="13"/>
      <c r="J655" s="13"/>
      <c r="K655" s="13"/>
      <c r="L655" s="13"/>
      <c r="M655" s="13"/>
      <c r="N655" s="146"/>
      <c r="O655" s="13"/>
      <c r="P655" s="146"/>
      <c r="R655" s="129"/>
      <c r="T655" s="13"/>
    </row>
    <row r="656" spans="1:20" ht="12.75" customHeight="1" x14ac:dyDescent="0.2">
      <c r="A656" s="134"/>
      <c r="B656" s="145"/>
      <c r="C656" s="145"/>
      <c r="D656" s="145"/>
      <c r="E656" s="13"/>
      <c r="F656" s="13"/>
      <c r="G656" s="144"/>
      <c r="H656" s="13"/>
      <c r="I656" s="13"/>
      <c r="J656" s="13"/>
      <c r="K656" s="13"/>
      <c r="L656" s="13"/>
      <c r="M656" s="13"/>
      <c r="N656" s="146"/>
      <c r="O656" s="13"/>
      <c r="P656" s="146"/>
      <c r="R656" s="129"/>
      <c r="T656" s="13"/>
    </row>
    <row r="657" spans="1:20" ht="12.75" customHeight="1" x14ac:dyDescent="0.2">
      <c r="A657" s="134"/>
      <c r="B657" s="145"/>
      <c r="C657" s="145"/>
      <c r="D657" s="145"/>
      <c r="E657" s="13"/>
      <c r="F657" s="13"/>
      <c r="G657" s="144"/>
      <c r="H657" s="13"/>
      <c r="I657" s="13"/>
      <c r="J657" s="13"/>
      <c r="K657" s="13"/>
      <c r="L657" s="13"/>
      <c r="M657" s="13"/>
      <c r="N657" s="146"/>
      <c r="O657" s="13"/>
      <c r="P657" s="146"/>
      <c r="R657" s="129"/>
      <c r="T657" s="13"/>
    </row>
    <row r="658" spans="1:20" ht="12.75" customHeight="1" x14ac:dyDescent="0.2">
      <c r="A658" s="134"/>
      <c r="B658" s="145"/>
      <c r="C658" s="145"/>
      <c r="D658" s="145"/>
      <c r="E658" s="13"/>
      <c r="F658" s="13"/>
      <c r="G658" s="144"/>
      <c r="H658" s="13"/>
      <c r="I658" s="13"/>
      <c r="J658" s="13"/>
      <c r="K658" s="13"/>
      <c r="L658" s="13"/>
      <c r="M658" s="13"/>
      <c r="N658" s="146"/>
      <c r="O658" s="13"/>
      <c r="P658" s="146"/>
      <c r="R658" s="129"/>
      <c r="T658" s="13"/>
    </row>
    <row r="659" spans="1:20" ht="12.75" customHeight="1" x14ac:dyDescent="0.2">
      <c r="A659" s="134"/>
      <c r="B659" s="145"/>
      <c r="C659" s="145"/>
      <c r="D659" s="145"/>
      <c r="E659" s="13"/>
      <c r="F659" s="13"/>
      <c r="G659" s="144"/>
      <c r="H659" s="13"/>
      <c r="I659" s="13"/>
      <c r="J659" s="13"/>
      <c r="K659" s="13"/>
      <c r="L659" s="13"/>
      <c r="M659" s="13"/>
      <c r="N659" s="146"/>
      <c r="O659" s="13"/>
      <c r="P659" s="146"/>
      <c r="R659" s="129"/>
      <c r="T659" s="13"/>
    </row>
    <row r="660" spans="1:20" ht="12.75" customHeight="1" x14ac:dyDescent="0.2">
      <c r="A660" s="134"/>
      <c r="B660" s="145"/>
      <c r="C660" s="145"/>
      <c r="D660" s="145"/>
      <c r="E660" s="13"/>
      <c r="F660" s="13"/>
      <c r="G660" s="144"/>
      <c r="H660" s="13"/>
      <c r="I660" s="13"/>
      <c r="J660" s="13"/>
      <c r="K660" s="13"/>
      <c r="L660" s="13"/>
      <c r="M660" s="13"/>
      <c r="N660" s="146"/>
      <c r="O660" s="13"/>
      <c r="P660" s="146"/>
      <c r="R660" s="129"/>
      <c r="T660" s="13"/>
    </row>
    <row r="661" spans="1:20" ht="12.75" customHeight="1" x14ac:dyDescent="0.2">
      <c r="A661" s="134"/>
      <c r="B661" s="145"/>
      <c r="C661" s="145"/>
      <c r="D661" s="145"/>
      <c r="E661" s="13"/>
      <c r="F661" s="13"/>
      <c r="G661" s="144"/>
      <c r="H661" s="13"/>
      <c r="I661" s="13"/>
      <c r="J661" s="13"/>
      <c r="K661" s="13"/>
      <c r="L661" s="13"/>
      <c r="M661" s="13"/>
      <c r="N661" s="146"/>
      <c r="O661" s="13"/>
      <c r="P661" s="146"/>
      <c r="R661" s="129"/>
      <c r="T661" s="13"/>
    </row>
    <row r="662" spans="1:20" ht="12.75" customHeight="1" x14ac:dyDescent="0.2">
      <c r="A662" s="134"/>
      <c r="B662" s="145"/>
      <c r="C662" s="145"/>
      <c r="D662" s="145"/>
      <c r="E662" s="13"/>
      <c r="F662" s="13"/>
      <c r="G662" s="144"/>
      <c r="H662" s="13"/>
      <c r="I662" s="13"/>
      <c r="J662" s="13"/>
      <c r="K662" s="13"/>
      <c r="L662" s="13"/>
      <c r="M662" s="13"/>
      <c r="N662" s="146"/>
      <c r="O662" s="13"/>
      <c r="P662" s="146"/>
      <c r="R662" s="129"/>
      <c r="T662" s="13"/>
    </row>
    <row r="663" spans="1:20" ht="12.75" customHeight="1" x14ac:dyDescent="0.2">
      <c r="A663" s="134"/>
      <c r="B663" s="145"/>
      <c r="C663" s="145"/>
      <c r="D663" s="145"/>
      <c r="E663" s="13"/>
      <c r="F663" s="13"/>
      <c r="G663" s="144"/>
      <c r="H663" s="13"/>
      <c r="I663" s="13"/>
      <c r="J663" s="13"/>
      <c r="K663" s="13"/>
      <c r="L663" s="13"/>
      <c r="M663" s="13"/>
      <c r="N663" s="146"/>
      <c r="O663" s="13"/>
      <c r="P663" s="146"/>
      <c r="R663" s="129"/>
      <c r="T663" s="13"/>
    </row>
    <row r="664" spans="1:20" ht="12.75" customHeight="1" x14ac:dyDescent="0.2">
      <c r="A664" s="134"/>
      <c r="B664" s="145"/>
      <c r="C664" s="145"/>
      <c r="D664" s="145"/>
      <c r="E664" s="13"/>
      <c r="F664" s="13"/>
      <c r="G664" s="144"/>
      <c r="H664" s="13"/>
      <c r="I664" s="13"/>
      <c r="J664" s="13"/>
      <c r="K664" s="13"/>
      <c r="L664" s="13"/>
      <c r="M664" s="13"/>
      <c r="N664" s="146"/>
      <c r="O664" s="13"/>
      <c r="P664" s="146"/>
      <c r="R664" s="129"/>
      <c r="T664" s="13"/>
    </row>
    <row r="665" spans="1:20" ht="12.75" customHeight="1" x14ac:dyDescent="0.2">
      <c r="A665" s="134"/>
      <c r="B665" s="145"/>
      <c r="C665" s="145"/>
      <c r="D665" s="145"/>
      <c r="E665" s="13"/>
      <c r="F665" s="13"/>
      <c r="G665" s="144"/>
      <c r="H665" s="13"/>
      <c r="I665" s="13"/>
      <c r="J665" s="13"/>
      <c r="K665" s="13"/>
      <c r="L665" s="13"/>
      <c r="M665" s="13"/>
      <c r="N665" s="146"/>
      <c r="O665" s="13"/>
      <c r="P665" s="146"/>
      <c r="R665" s="129"/>
      <c r="T665" s="13"/>
    </row>
    <row r="666" spans="1:20" ht="12.75" customHeight="1" x14ac:dyDescent="0.2">
      <c r="A666" s="134"/>
      <c r="B666" s="145"/>
      <c r="C666" s="145"/>
      <c r="D666" s="145"/>
      <c r="E666" s="13"/>
      <c r="F666" s="13"/>
      <c r="G666" s="144"/>
      <c r="H666" s="13"/>
      <c r="I666" s="13"/>
      <c r="J666" s="13"/>
      <c r="K666" s="13"/>
      <c r="L666" s="13"/>
      <c r="M666" s="13"/>
      <c r="N666" s="146"/>
      <c r="O666" s="13"/>
      <c r="P666" s="146"/>
      <c r="R666" s="129"/>
      <c r="T666" s="13"/>
    </row>
    <row r="667" spans="1:20" ht="12.75" customHeight="1" x14ac:dyDescent="0.2">
      <c r="A667" s="134"/>
      <c r="B667" s="145"/>
      <c r="C667" s="145"/>
      <c r="D667" s="145"/>
      <c r="E667" s="13"/>
      <c r="F667" s="13"/>
      <c r="G667" s="144"/>
      <c r="H667" s="13"/>
      <c r="I667" s="13"/>
      <c r="J667" s="13"/>
      <c r="K667" s="13"/>
      <c r="L667" s="13"/>
      <c r="M667" s="13"/>
      <c r="N667" s="146"/>
      <c r="O667" s="13"/>
      <c r="P667" s="146"/>
      <c r="R667" s="129"/>
      <c r="T667" s="13"/>
    </row>
    <row r="668" spans="1:20" ht="12.75" customHeight="1" x14ac:dyDescent="0.2">
      <c r="A668" s="134"/>
      <c r="B668" s="145"/>
      <c r="C668" s="145"/>
      <c r="D668" s="145"/>
      <c r="E668" s="13"/>
      <c r="F668" s="13"/>
      <c r="G668" s="144"/>
      <c r="H668" s="13"/>
      <c r="I668" s="13"/>
      <c r="J668" s="13"/>
      <c r="K668" s="13"/>
      <c r="L668" s="13"/>
      <c r="M668" s="13"/>
      <c r="N668" s="146"/>
      <c r="O668" s="13"/>
      <c r="P668" s="146"/>
      <c r="R668" s="129"/>
      <c r="T668" s="13"/>
    </row>
    <row r="669" spans="1:20" ht="12.75" customHeight="1" x14ac:dyDescent="0.2">
      <c r="A669" s="134"/>
      <c r="B669" s="145"/>
      <c r="C669" s="145"/>
      <c r="D669" s="145"/>
      <c r="E669" s="13"/>
      <c r="F669" s="13"/>
      <c r="G669" s="144"/>
      <c r="H669" s="13"/>
      <c r="I669" s="13"/>
      <c r="J669" s="13"/>
      <c r="K669" s="13"/>
      <c r="L669" s="13"/>
      <c r="M669" s="13"/>
      <c r="N669" s="146"/>
      <c r="O669" s="13"/>
      <c r="P669" s="146"/>
      <c r="R669" s="129"/>
      <c r="T669" s="13"/>
    </row>
    <row r="670" spans="1:20" ht="12.75" customHeight="1" x14ac:dyDescent="0.2">
      <c r="A670" s="134"/>
      <c r="B670" s="145"/>
      <c r="C670" s="145"/>
      <c r="D670" s="145"/>
      <c r="E670" s="13"/>
      <c r="F670" s="13"/>
      <c r="G670" s="144"/>
      <c r="H670" s="13"/>
      <c r="I670" s="13"/>
      <c r="J670" s="13"/>
      <c r="K670" s="13"/>
      <c r="L670" s="13"/>
      <c r="M670" s="13"/>
      <c r="N670" s="146"/>
      <c r="O670" s="13"/>
      <c r="P670" s="146"/>
      <c r="R670" s="129"/>
      <c r="T670" s="13"/>
    </row>
    <row r="671" spans="1:20" ht="12.75" customHeight="1" x14ac:dyDescent="0.2">
      <c r="A671" s="134"/>
      <c r="B671" s="145"/>
      <c r="C671" s="145"/>
      <c r="D671" s="145"/>
      <c r="E671" s="13"/>
      <c r="F671" s="13"/>
      <c r="G671" s="144"/>
      <c r="H671" s="13"/>
      <c r="I671" s="13"/>
      <c r="J671" s="13"/>
      <c r="K671" s="13"/>
      <c r="L671" s="13"/>
      <c r="M671" s="13"/>
      <c r="N671" s="146"/>
      <c r="O671" s="13"/>
      <c r="P671" s="146"/>
      <c r="R671" s="129"/>
      <c r="T671" s="13"/>
    </row>
    <row r="672" spans="1:20" ht="12.75" customHeight="1" x14ac:dyDescent="0.2">
      <c r="A672" s="134"/>
      <c r="B672" s="145"/>
      <c r="C672" s="145"/>
      <c r="D672" s="145"/>
      <c r="E672" s="13"/>
      <c r="F672" s="13"/>
      <c r="G672" s="144"/>
      <c r="H672" s="13"/>
      <c r="I672" s="13"/>
      <c r="J672" s="13"/>
      <c r="K672" s="13"/>
      <c r="L672" s="13"/>
      <c r="M672" s="13"/>
      <c r="N672" s="146"/>
      <c r="O672" s="13"/>
      <c r="P672" s="146"/>
      <c r="R672" s="129"/>
      <c r="T672" s="13"/>
    </row>
    <row r="673" spans="1:20" ht="12.75" customHeight="1" x14ac:dyDescent="0.2">
      <c r="A673" s="134"/>
      <c r="B673" s="145"/>
      <c r="C673" s="145"/>
      <c r="D673" s="145"/>
      <c r="E673" s="13"/>
      <c r="F673" s="13"/>
      <c r="G673" s="144"/>
      <c r="H673" s="13"/>
      <c r="I673" s="13"/>
      <c r="J673" s="13"/>
      <c r="K673" s="13"/>
      <c r="L673" s="13"/>
      <c r="M673" s="13"/>
      <c r="N673" s="146"/>
      <c r="O673" s="13"/>
      <c r="P673" s="146"/>
      <c r="R673" s="129"/>
      <c r="T673" s="13"/>
    </row>
    <row r="674" spans="1:20" ht="12.75" customHeight="1" x14ac:dyDescent="0.2">
      <c r="A674" s="134"/>
      <c r="B674" s="145"/>
      <c r="C674" s="145"/>
      <c r="D674" s="145"/>
      <c r="E674" s="13"/>
      <c r="F674" s="13"/>
      <c r="G674" s="144"/>
      <c r="H674" s="13"/>
      <c r="I674" s="13"/>
      <c r="J674" s="13"/>
      <c r="K674" s="13"/>
      <c r="L674" s="13"/>
      <c r="M674" s="13"/>
      <c r="N674" s="146"/>
      <c r="O674" s="13"/>
      <c r="P674" s="146"/>
      <c r="R674" s="129"/>
      <c r="T674" s="13"/>
    </row>
    <row r="675" spans="1:20" ht="12.75" customHeight="1" x14ac:dyDescent="0.2">
      <c r="A675" s="134"/>
      <c r="B675" s="145"/>
      <c r="C675" s="145"/>
      <c r="D675" s="145"/>
      <c r="E675" s="13"/>
      <c r="F675" s="13"/>
      <c r="G675" s="144"/>
      <c r="H675" s="13"/>
      <c r="I675" s="13"/>
      <c r="J675" s="13"/>
      <c r="K675" s="13"/>
      <c r="L675" s="13"/>
      <c r="M675" s="13"/>
      <c r="N675" s="146"/>
      <c r="O675" s="13"/>
      <c r="P675" s="146"/>
      <c r="R675" s="129"/>
      <c r="T675" s="13"/>
    </row>
    <row r="676" spans="1:20" ht="12.75" customHeight="1" x14ac:dyDescent="0.2">
      <c r="A676" s="134"/>
      <c r="B676" s="145"/>
      <c r="C676" s="145"/>
      <c r="D676" s="145"/>
      <c r="E676" s="13"/>
      <c r="F676" s="13"/>
      <c r="G676" s="144"/>
      <c r="H676" s="13"/>
      <c r="I676" s="13"/>
      <c r="J676" s="13"/>
      <c r="K676" s="13"/>
      <c r="L676" s="13"/>
      <c r="M676" s="13"/>
      <c r="N676" s="146"/>
      <c r="O676" s="13"/>
      <c r="P676" s="146"/>
      <c r="R676" s="129"/>
      <c r="T676" s="13"/>
    </row>
    <row r="677" spans="1:20" ht="12.75" customHeight="1" x14ac:dyDescent="0.2">
      <c r="A677" s="134"/>
      <c r="B677" s="145"/>
      <c r="C677" s="145"/>
      <c r="D677" s="145"/>
      <c r="E677" s="13"/>
      <c r="F677" s="13"/>
      <c r="G677" s="144"/>
      <c r="H677" s="13"/>
      <c r="I677" s="13"/>
      <c r="J677" s="13"/>
      <c r="K677" s="13"/>
      <c r="L677" s="13"/>
      <c r="M677" s="13"/>
      <c r="N677" s="146"/>
      <c r="O677" s="13"/>
      <c r="P677" s="146"/>
      <c r="R677" s="129"/>
      <c r="T677" s="13"/>
    </row>
    <row r="678" spans="1:20" ht="12.75" customHeight="1" x14ac:dyDescent="0.2">
      <c r="A678" s="134"/>
      <c r="B678" s="145"/>
      <c r="C678" s="145"/>
      <c r="D678" s="145"/>
      <c r="E678" s="13"/>
      <c r="F678" s="13"/>
      <c r="G678" s="144"/>
      <c r="H678" s="13"/>
      <c r="I678" s="13"/>
      <c r="J678" s="13"/>
      <c r="K678" s="13"/>
      <c r="L678" s="13"/>
      <c r="M678" s="13"/>
      <c r="N678" s="146"/>
      <c r="O678" s="13"/>
      <c r="P678" s="146"/>
      <c r="R678" s="129"/>
      <c r="T678" s="13"/>
    </row>
    <row r="679" spans="1:20" ht="12.75" customHeight="1" x14ac:dyDescent="0.2">
      <c r="A679" s="134"/>
      <c r="B679" s="145"/>
      <c r="C679" s="145"/>
      <c r="D679" s="145"/>
      <c r="E679" s="13"/>
      <c r="F679" s="13"/>
      <c r="G679" s="144"/>
      <c r="H679" s="13"/>
      <c r="I679" s="13"/>
      <c r="J679" s="13"/>
      <c r="K679" s="13"/>
      <c r="L679" s="13"/>
      <c r="M679" s="13"/>
      <c r="N679" s="146"/>
      <c r="O679" s="13"/>
      <c r="P679" s="146"/>
      <c r="R679" s="129"/>
      <c r="T679" s="13"/>
    </row>
    <row r="680" spans="1:20" ht="12.75" customHeight="1" x14ac:dyDescent="0.2">
      <c r="A680" s="134"/>
      <c r="B680" s="145"/>
      <c r="C680" s="145"/>
      <c r="D680" s="145"/>
      <c r="E680" s="13"/>
      <c r="F680" s="13"/>
      <c r="G680" s="144"/>
      <c r="H680" s="13"/>
      <c r="I680" s="13"/>
      <c r="J680" s="13"/>
      <c r="K680" s="13"/>
      <c r="L680" s="13"/>
      <c r="M680" s="13"/>
      <c r="N680" s="146"/>
      <c r="O680" s="13"/>
      <c r="P680" s="146"/>
      <c r="R680" s="129"/>
      <c r="T680" s="13"/>
    </row>
    <row r="681" spans="1:20" ht="12.75" customHeight="1" x14ac:dyDescent="0.2">
      <c r="A681" s="134"/>
      <c r="B681" s="145"/>
      <c r="C681" s="145"/>
      <c r="D681" s="145"/>
      <c r="E681" s="13"/>
      <c r="F681" s="13"/>
      <c r="G681" s="144"/>
      <c r="H681" s="13"/>
      <c r="I681" s="13"/>
      <c r="J681" s="13"/>
      <c r="K681" s="13"/>
      <c r="L681" s="13"/>
      <c r="M681" s="13"/>
      <c r="N681" s="146"/>
      <c r="O681" s="13"/>
      <c r="P681" s="146"/>
      <c r="R681" s="129"/>
      <c r="T681" s="13"/>
    </row>
    <row r="682" spans="1:20" ht="12.75" customHeight="1" x14ac:dyDescent="0.2">
      <c r="A682" s="134"/>
      <c r="B682" s="145"/>
      <c r="C682" s="145"/>
      <c r="D682" s="145"/>
      <c r="E682" s="13"/>
      <c r="F682" s="13"/>
      <c r="G682" s="144"/>
      <c r="H682" s="13"/>
      <c r="I682" s="13"/>
      <c r="J682" s="13"/>
      <c r="K682" s="13"/>
      <c r="L682" s="13"/>
      <c r="M682" s="13"/>
      <c r="N682" s="146"/>
      <c r="O682" s="13"/>
      <c r="P682" s="146"/>
      <c r="R682" s="129"/>
      <c r="T682" s="13"/>
    </row>
    <row r="683" spans="1:20" ht="12.75" customHeight="1" x14ac:dyDescent="0.2">
      <c r="A683" s="134"/>
      <c r="B683" s="145"/>
      <c r="C683" s="145"/>
      <c r="D683" s="145"/>
      <c r="E683" s="13"/>
      <c r="F683" s="13"/>
      <c r="G683" s="144"/>
      <c r="H683" s="13"/>
      <c r="I683" s="13"/>
      <c r="J683" s="13"/>
      <c r="K683" s="13"/>
      <c r="L683" s="13"/>
      <c r="M683" s="13"/>
      <c r="N683" s="146"/>
      <c r="O683" s="13"/>
      <c r="P683" s="146"/>
      <c r="R683" s="129"/>
      <c r="T683" s="13"/>
    </row>
    <row r="684" spans="1:20" ht="12.75" customHeight="1" x14ac:dyDescent="0.2">
      <c r="A684" s="134"/>
      <c r="B684" s="145"/>
      <c r="C684" s="145"/>
      <c r="D684" s="145"/>
      <c r="E684" s="13"/>
      <c r="F684" s="13"/>
      <c r="G684" s="144"/>
      <c r="H684" s="13"/>
      <c r="I684" s="13"/>
      <c r="J684" s="13"/>
      <c r="K684" s="13"/>
      <c r="L684" s="13"/>
      <c r="M684" s="13"/>
      <c r="N684" s="146"/>
      <c r="O684" s="13"/>
      <c r="P684" s="146"/>
      <c r="R684" s="129"/>
      <c r="T684" s="13"/>
    </row>
    <row r="685" spans="1:20" ht="12.75" customHeight="1" x14ac:dyDescent="0.2">
      <c r="A685" s="134"/>
      <c r="B685" s="145"/>
      <c r="C685" s="145"/>
      <c r="D685" s="145"/>
      <c r="E685" s="13"/>
      <c r="F685" s="13"/>
      <c r="G685" s="144"/>
      <c r="H685" s="13"/>
      <c r="I685" s="13"/>
      <c r="J685" s="13"/>
      <c r="K685" s="13"/>
      <c r="L685" s="13"/>
      <c r="M685" s="13"/>
      <c r="N685" s="146"/>
      <c r="O685" s="13"/>
      <c r="P685" s="146"/>
      <c r="R685" s="129"/>
      <c r="T685" s="13"/>
    </row>
    <row r="686" spans="1:20" ht="12.75" customHeight="1" x14ac:dyDescent="0.2">
      <c r="A686" s="134"/>
      <c r="B686" s="145"/>
      <c r="C686" s="145"/>
      <c r="D686" s="145"/>
      <c r="E686" s="13"/>
      <c r="F686" s="13"/>
      <c r="G686" s="144"/>
      <c r="H686" s="13"/>
      <c r="I686" s="13"/>
      <c r="J686" s="13"/>
      <c r="K686" s="13"/>
      <c r="L686" s="13"/>
      <c r="M686" s="13"/>
      <c r="N686" s="146"/>
      <c r="O686" s="13"/>
      <c r="P686" s="146"/>
      <c r="R686" s="129"/>
      <c r="T686" s="13"/>
    </row>
    <row r="687" spans="1:20" ht="12.75" customHeight="1" x14ac:dyDescent="0.2">
      <c r="A687" s="134"/>
      <c r="B687" s="145"/>
      <c r="C687" s="145"/>
      <c r="D687" s="145"/>
      <c r="E687" s="13"/>
      <c r="F687" s="13"/>
      <c r="G687" s="144"/>
      <c r="H687" s="13"/>
      <c r="I687" s="13"/>
      <c r="J687" s="13"/>
      <c r="K687" s="13"/>
      <c r="L687" s="13"/>
      <c r="M687" s="13"/>
      <c r="N687" s="146"/>
      <c r="O687" s="13"/>
      <c r="P687" s="146"/>
      <c r="R687" s="129"/>
      <c r="T687" s="13"/>
    </row>
    <row r="688" spans="1:20" ht="12.75" customHeight="1" x14ac:dyDescent="0.2">
      <c r="A688" s="134"/>
      <c r="B688" s="145"/>
      <c r="C688" s="145"/>
      <c r="D688" s="145"/>
      <c r="E688" s="13"/>
      <c r="F688" s="13"/>
      <c r="G688" s="144"/>
      <c r="H688" s="13"/>
      <c r="I688" s="13"/>
      <c r="J688" s="13"/>
      <c r="K688" s="13"/>
      <c r="L688" s="13"/>
      <c r="M688" s="13"/>
      <c r="N688" s="146"/>
      <c r="O688" s="13"/>
      <c r="P688" s="146"/>
      <c r="R688" s="129"/>
      <c r="T688" s="13"/>
    </row>
    <row r="689" spans="1:20" ht="12.75" customHeight="1" x14ac:dyDescent="0.2">
      <c r="A689" s="134"/>
      <c r="B689" s="145"/>
      <c r="C689" s="145"/>
      <c r="D689" s="145"/>
      <c r="E689" s="13"/>
      <c r="F689" s="13"/>
      <c r="G689" s="144"/>
      <c r="H689" s="13"/>
      <c r="I689" s="13"/>
      <c r="J689" s="13"/>
      <c r="K689" s="13"/>
      <c r="L689" s="13"/>
      <c r="M689" s="13"/>
      <c r="N689" s="146"/>
      <c r="O689" s="13"/>
      <c r="P689" s="146"/>
      <c r="R689" s="129"/>
      <c r="T689" s="13"/>
    </row>
    <row r="690" spans="1:20" ht="12.75" customHeight="1" x14ac:dyDescent="0.2">
      <c r="A690" s="134"/>
      <c r="B690" s="145"/>
      <c r="C690" s="145"/>
      <c r="D690" s="145"/>
      <c r="E690" s="13"/>
      <c r="F690" s="13"/>
      <c r="G690" s="144"/>
      <c r="H690" s="13"/>
      <c r="I690" s="13"/>
      <c r="J690" s="13"/>
      <c r="K690" s="13"/>
      <c r="L690" s="13"/>
      <c r="M690" s="13"/>
      <c r="N690" s="146"/>
      <c r="O690" s="13"/>
      <c r="P690" s="146"/>
      <c r="R690" s="129"/>
      <c r="T690" s="13"/>
    </row>
    <row r="691" spans="1:20" ht="12.75" customHeight="1" x14ac:dyDescent="0.2">
      <c r="A691" s="134"/>
      <c r="B691" s="145"/>
      <c r="C691" s="145"/>
      <c r="D691" s="145"/>
      <c r="E691" s="13"/>
      <c r="F691" s="13"/>
      <c r="G691" s="144"/>
      <c r="H691" s="13"/>
      <c r="I691" s="13"/>
      <c r="J691" s="13"/>
      <c r="K691" s="13"/>
      <c r="L691" s="13"/>
      <c r="M691" s="13"/>
      <c r="N691" s="146"/>
      <c r="O691" s="13"/>
      <c r="P691" s="146"/>
      <c r="R691" s="129"/>
      <c r="T691" s="13"/>
    </row>
    <row r="692" spans="1:20" ht="12.75" customHeight="1" x14ac:dyDescent="0.2">
      <c r="A692" s="134"/>
      <c r="B692" s="145"/>
      <c r="C692" s="145"/>
      <c r="D692" s="145"/>
      <c r="E692" s="13"/>
      <c r="F692" s="13"/>
      <c r="G692" s="144"/>
      <c r="H692" s="13"/>
      <c r="I692" s="13"/>
      <c r="J692" s="13"/>
      <c r="K692" s="13"/>
      <c r="L692" s="13"/>
      <c r="M692" s="13"/>
      <c r="N692" s="146"/>
      <c r="O692" s="13"/>
      <c r="P692" s="146"/>
      <c r="R692" s="129"/>
      <c r="T692" s="13"/>
    </row>
    <row r="693" spans="1:20" ht="12.75" customHeight="1" x14ac:dyDescent="0.2">
      <c r="A693" s="134"/>
      <c r="B693" s="145"/>
      <c r="C693" s="145"/>
      <c r="D693" s="145"/>
      <c r="E693" s="13"/>
      <c r="F693" s="13"/>
      <c r="G693" s="144"/>
      <c r="H693" s="13"/>
      <c r="I693" s="13"/>
      <c r="J693" s="13"/>
      <c r="K693" s="13"/>
      <c r="L693" s="13"/>
      <c r="M693" s="13"/>
      <c r="N693" s="146"/>
      <c r="O693" s="13"/>
      <c r="P693" s="146"/>
      <c r="R693" s="129"/>
      <c r="T693" s="13"/>
    </row>
    <row r="694" spans="1:20" ht="12.75" customHeight="1" x14ac:dyDescent="0.2">
      <c r="A694" s="134"/>
      <c r="B694" s="145"/>
      <c r="C694" s="145"/>
      <c r="D694" s="145"/>
      <c r="E694" s="13"/>
      <c r="F694" s="13"/>
      <c r="G694" s="144"/>
      <c r="H694" s="13"/>
      <c r="I694" s="13"/>
      <c r="J694" s="13"/>
      <c r="K694" s="13"/>
      <c r="L694" s="13"/>
      <c r="M694" s="13"/>
      <c r="N694" s="146"/>
      <c r="O694" s="13"/>
      <c r="P694" s="146"/>
      <c r="R694" s="129"/>
      <c r="T694" s="13"/>
    </row>
    <row r="695" spans="1:20" ht="12.75" customHeight="1" x14ac:dyDescent="0.2">
      <c r="A695" s="134"/>
      <c r="B695" s="145"/>
      <c r="C695" s="145"/>
      <c r="D695" s="145"/>
      <c r="E695" s="13"/>
      <c r="F695" s="13"/>
      <c r="G695" s="144"/>
      <c r="H695" s="13"/>
      <c r="I695" s="13"/>
      <c r="J695" s="13"/>
      <c r="K695" s="13"/>
      <c r="L695" s="13"/>
      <c r="M695" s="13"/>
      <c r="N695" s="146"/>
      <c r="O695" s="13"/>
      <c r="P695" s="146"/>
      <c r="R695" s="129"/>
      <c r="T695" s="13"/>
    </row>
    <row r="696" spans="1:20" ht="12.75" customHeight="1" x14ac:dyDescent="0.2">
      <c r="A696" s="134"/>
      <c r="B696" s="145"/>
      <c r="C696" s="145"/>
      <c r="D696" s="145"/>
      <c r="E696" s="13"/>
      <c r="F696" s="13"/>
      <c r="G696" s="144"/>
      <c r="H696" s="13"/>
      <c r="I696" s="13"/>
      <c r="J696" s="13"/>
      <c r="K696" s="13"/>
      <c r="L696" s="13"/>
      <c r="M696" s="13"/>
      <c r="N696" s="146"/>
      <c r="O696" s="13"/>
      <c r="P696" s="146"/>
      <c r="R696" s="129"/>
      <c r="T696" s="13"/>
    </row>
    <row r="697" spans="1:20" ht="12.75" customHeight="1" x14ac:dyDescent="0.2">
      <c r="A697" s="134"/>
      <c r="B697" s="145"/>
      <c r="C697" s="145"/>
      <c r="D697" s="145"/>
      <c r="E697" s="13"/>
      <c r="F697" s="13"/>
      <c r="G697" s="144"/>
      <c r="H697" s="13"/>
      <c r="I697" s="13"/>
      <c r="J697" s="13"/>
      <c r="K697" s="13"/>
      <c r="L697" s="13"/>
      <c r="M697" s="13"/>
      <c r="N697" s="146"/>
      <c r="O697" s="13"/>
      <c r="P697" s="146"/>
      <c r="R697" s="129"/>
      <c r="T697" s="13"/>
    </row>
    <row r="698" spans="1:20" ht="12.75" customHeight="1" x14ac:dyDescent="0.2">
      <c r="A698" s="134"/>
      <c r="B698" s="145"/>
      <c r="C698" s="145"/>
      <c r="D698" s="145"/>
      <c r="E698" s="13"/>
      <c r="F698" s="13"/>
      <c r="G698" s="144"/>
      <c r="H698" s="13"/>
      <c r="I698" s="13"/>
      <c r="J698" s="13"/>
      <c r="K698" s="13"/>
      <c r="L698" s="13"/>
      <c r="M698" s="13"/>
      <c r="N698" s="146"/>
      <c r="O698" s="13"/>
      <c r="P698" s="146"/>
      <c r="R698" s="129"/>
      <c r="T698" s="13"/>
    </row>
    <row r="699" spans="1:20" ht="12.75" customHeight="1" x14ac:dyDescent="0.2">
      <c r="A699" s="134"/>
      <c r="B699" s="145"/>
      <c r="C699" s="145"/>
      <c r="D699" s="145"/>
      <c r="E699" s="13"/>
      <c r="F699" s="13"/>
      <c r="G699" s="144"/>
      <c r="H699" s="13"/>
      <c r="I699" s="13"/>
      <c r="J699" s="13"/>
      <c r="K699" s="13"/>
      <c r="L699" s="13"/>
      <c r="M699" s="13"/>
      <c r="N699" s="146"/>
      <c r="O699" s="13"/>
      <c r="P699" s="146"/>
      <c r="R699" s="129"/>
      <c r="T699" s="13"/>
    </row>
    <row r="700" spans="1:20" ht="12.75" customHeight="1" x14ac:dyDescent="0.2">
      <c r="A700" s="134"/>
      <c r="B700" s="145"/>
      <c r="C700" s="145"/>
      <c r="D700" s="145"/>
      <c r="E700" s="13"/>
      <c r="F700" s="13"/>
      <c r="G700" s="144"/>
      <c r="H700" s="13"/>
      <c r="I700" s="13"/>
      <c r="J700" s="13"/>
      <c r="K700" s="13"/>
      <c r="L700" s="13"/>
      <c r="M700" s="13"/>
      <c r="N700" s="146"/>
      <c r="O700" s="13"/>
      <c r="P700" s="146"/>
      <c r="R700" s="129"/>
      <c r="T700" s="13"/>
    </row>
    <row r="701" spans="1:20" ht="12.75" customHeight="1" x14ac:dyDescent="0.2">
      <c r="A701" s="134"/>
      <c r="B701" s="145"/>
      <c r="C701" s="145"/>
      <c r="D701" s="145"/>
      <c r="E701" s="13"/>
      <c r="F701" s="13"/>
      <c r="G701" s="144"/>
      <c r="H701" s="13"/>
      <c r="I701" s="13"/>
      <c r="J701" s="13"/>
      <c r="K701" s="13"/>
      <c r="L701" s="13"/>
      <c r="M701" s="13"/>
      <c r="N701" s="146"/>
      <c r="O701" s="13"/>
      <c r="P701" s="146"/>
      <c r="R701" s="129"/>
      <c r="T701" s="13"/>
    </row>
    <row r="702" spans="1:20" ht="12.75" customHeight="1" x14ac:dyDescent="0.2">
      <c r="A702" s="134"/>
      <c r="B702" s="145"/>
      <c r="C702" s="145"/>
      <c r="D702" s="145"/>
      <c r="E702" s="13"/>
      <c r="F702" s="13"/>
      <c r="G702" s="144"/>
      <c r="H702" s="13"/>
      <c r="I702" s="13"/>
      <c r="J702" s="13"/>
      <c r="K702" s="13"/>
      <c r="L702" s="13"/>
      <c r="M702" s="13"/>
      <c r="N702" s="146"/>
      <c r="O702" s="13"/>
      <c r="P702" s="146"/>
      <c r="R702" s="129"/>
      <c r="T702" s="13"/>
    </row>
    <row r="703" spans="1:20" ht="12.75" customHeight="1" x14ac:dyDescent="0.2">
      <c r="A703" s="134"/>
      <c r="B703" s="145"/>
      <c r="C703" s="145"/>
      <c r="D703" s="145"/>
      <c r="E703" s="13"/>
      <c r="F703" s="13"/>
      <c r="G703" s="144"/>
      <c r="H703" s="13"/>
      <c r="I703" s="13"/>
      <c r="J703" s="13"/>
      <c r="K703" s="13"/>
      <c r="L703" s="13"/>
      <c r="M703" s="13"/>
      <c r="N703" s="146"/>
      <c r="O703" s="13"/>
      <c r="P703" s="146"/>
      <c r="R703" s="129"/>
      <c r="T703" s="13"/>
    </row>
    <row r="704" spans="1:20" ht="12.75" customHeight="1" x14ac:dyDescent="0.2">
      <c r="A704" s="134"/>
      <c r="B704" s="145"/>
      <c r="C704" s="145"/>
      <c r="D704" s="145"/>
      <c r="E704" s="13"/>
      <c r="F704" s="13"/>
      <c r="G704" s="144"/>
      <c r="H704" s="13"/>
      <c r="I704" s="13"/>
      <c r="J704" s="13"/>
      <c r="K704" s="13"/>
      <c r="L704" s="13"/>
      <c r="M704" s="13"/>
      <c r="N704" s="146"/>
      <c r="O704" s="13"/>
      <c r="P704" s="146"/>
      <c r="R704" s="129"/>
      <c r="T704" s="13"/>
    </row>
    <row r="705" spans="1:20" ht="12.75" customHeight="1" x14ac:dyDescent="0.2">
      <c r="A705" s="134"/>
      <c r="B705" s="145"/>
      <c r="C705" s="145"/>
      <c r="D705" s="145"/>
      <c r="E705" s="13"/>
      <c r="F705" s="13"/>
      <c r="G705" s="144"/>
      <c r="H705" s="13"/>
      <c r="I705" s="13"/>
      <c r="J705" s="13"/>
      <c r="K705" s="13"/>
      <c r="L705" s="13"/>
      <c r="M705" s="13"/>
      <c r="N705" s="146"/>
      <c r="O705" s="13"/>
      <c r="P705" s="146"/>
      <c r="R705" s="129"/>
      <c r="T705" s="13"/>
    </row>
    <row r="706" spans="1:20" ht="12.75" customHeight="1" x14ac:dyDescent="0.2">
      <c r="A706" s="134"/>
      <c r="B706" s="145"/>
      <c r="C706" s="145"/>
      <c r="D706" s="145"/>
      <c r="E706" s="13"/>
      <c r="F706" s="13"/>
      <c r="G706" s="144"/>
      <c r="H706" s="13"/>
      <c r="I706" s="13"/>
      <c r="J706" s="13"/>
      <c r="K706" s="13"/>
      <c r="L706" s="13"/>
      <c r="M706" s="13"/>
      <c r="N706" s="146"/>
      <c r="O706" s="13"/>
      <c r="P706" s="146"/>
      <c r="R706" s="129"/>
      <c r="T706" s="13"/>
    </row>
    <row r="707" spans="1:20" ht="12.75" customHeight="1" x14ac:dyDescent="0.2">
      <c r="A707" s="134"/>
      <c r="B707" s="145"/>
      <c r="C707" s="145"/>
      <c r="D707" s="145"/>
      <c r="E707" s="13"/>
      <c r="F707" s="13"/>
      <c r="G707" s="144"/>
      <c r="H707" s="13"/>
      <c r="I707" s="13"/>
      <c r="J707" s="13"/>
      <c r="K707" s="13"/>
      <c r="L707" s="13"/>
      <c r="M707" s="13"/>
      <c r="N707" s="146"/>
      <c r="O707" s="13"/>
      <c r="P707" s="146"/>
      <c r="R707" s="129"/>
      <c r="T707" s="13"/>
    </row>
    <row r="708" spans="1:20" ht="12.75" customHeight="1" x14ac:dyDescent="0.2">
      <c r="A708" s="134"/>
      <c r="B708" s="145"/>
      <c r="C708" s="145"/>
      <c r="D708" s="145"/>
      <c r="E708" s="13"/>
      <c r="F708" s="13"/>
      <c r="G708" s="144"/>
      <c r="H708" s="13"/>
      <c r="I708" s="13"/>
      <c r="J708" s="13"/>
      <c r="K708" s="13"/>
      <c r="L708" s="13"/>
      <c r="M708" s="13"/>
      <c r="N708" s="146"/>
      <c r="O708" s="13"/>
      <c r="P708" s="146"/>
      <c r="R708" s="129"/>
      <c r="T708" s="13"/>
    </row>
    <row r="709" spans="1:20" ht="12.75" customHeight="1" x14ac:dyDescent="0.2">
      <c r="A709" s="134"/>
      <c r="B709" s="145"/>
      <c r="C709" s="145"/>
      <c r="D709" s="145"/>
      <c r="E709" s="13"/>
      <c r="F709" s="13"/>
      <c r="G709" s="144"/>
      <c r="H709" s="13"/>
      <c r="I709" s="13"/>
      <c r="J709" s="13"/>
      <c r="K709" s="13"/>
      <c r="L709" s="13"/>
      <c r="M709" s="13"/>
      <c r="N709" s="146"/>
      <c r="O709" s="13"/>
      <c r="P709" s="146"/>
      <c r="R709" s="129"/>
      <c r="T709" s="13"/>
    </row>
    <row r="710" spans="1:20" ht="12.75" customHeight="1" x14ac:dyDescent="0.2">
      <c r="A710" s="134"/>
      <c r="B710" s="145"/>
      <c r="C710" s="145"/>
      <c r="D710" s="145"/>
      <c r="E710" s="13"/>
      <c r="F710" s="13"/>
      <c r="G710" s="144"/>
      <c r="H710" s="13"/>
      <c r="I710" s="13"/>
      <c r="J710" s="13"/>
      <c r="K710" s="13"/>
      <c r="L710" s="13"/>
      <c r="M710" s="13"/>
      <c r="N710" s="146"/>
      <c r="O710" s="13"/>
      <c r="P710" s="146"/>
      <c r="R710" s="129"/>
      <c r="T710" s="13"/>
    </row>
    <row r="711" spans="1:20" ht="12.75" customHeight="1" x14ac:dyDescent="0.2">
      <c r="A711" s="134"/>
      <c r="B711" s="145"/>
      <c r="C711" s="145"/>
      <c r="D711" s="145"/>
      <c r="E711" s="13"/>
      <c r="F711" s="13"/>
      <c r="G711" s="144"/>
      <c r="H711" s="13"/>
      <c r="I711" s="13"/>
      <c r="J711" s="13"/>
      <c r="K711" s="13"/>
      <c r="L711" s="13"/>
      <c r="M711" s="13"/>
      <c r="N711" s="146"/>
      <c r="O711" s="13"/>
      <c r="P711" s="146"/>
      <c r="R711" s="129"/>
      <c r="T711" s="13"/>
    </row>
    <row r="712" spans="1:20" ht="12.75" customHeight="1" x14ac:dyDescent="0.2">
      <c r="A712" s="134"/>
      <c r="B712" s="145"/>
      <c r="C712" s="145"/>
      <c r="D712" s="145"/>
      <c r="E712" s="13"/>
      <c r="F712" s="13"/>
      <c r="G712" s="144"/>
      <c r="H712" s="13"/>
      <c r="I712" s="13"/>
      <c r="J712" s="13"/>
      <c r="K712" s="13"/>
      <c r="L712" s="13"/>
      <c r="M712" s="13"/>
      <c r="N712" s="146"/>
      <c r="O712" s="13"/>
      <c r="P712" s="146"/>
      <c r="R712" s="129"/>
      <c r="T712" s="13"/>
    </row>
    <row r="713" spans="1:20" ht="12.75" customHeight="1" x14ac:dyDescent="0.2">
      <c r="A713" s="134"/>
      <c r="B713" s="145"/>
      <c r="C713" s="145"/>
      <c r="D713" s="145"/>
      <c r="E713" s="13"/>
      <c r="F713" s="13"/>
      <c r="G713" s="144"/>
      <c r="H713" s="13"/>
      <c r="I713" s="13"/>
      <c r="J713" s="13"/>
      <c r="K713" s="13"/>
      <c r="L713" s="13"/>
      <c r="M713" s="13"/>
      <c r="N713" s="146"/>
      <c r="O713" s="13"/>
      <c r="P713" s="146"/>
      <c r="R713" s="129"/>
      <c r="T713" s="13"/>
    </row>
    <row r="714" spans="1:20" ht="12.75" customHeight="1" x14ac:dyDescent="0.2">
      <c r="A714" s="134"/>
      <c r="B714" s="145"/>
      <c r="C714" s="145"/>
      <c r="D714" s="145"/>
      <c r="E714" s="13"/>
      <c r="F714" s="13"/>
      <c r="G714" s="144"/>
      <c r="H714" s="13"/>
      <c r="I714" s="13"/>
      <c r="J714" s="13"/>
      <c r="K714" s="13"/>
      <c r="L714" s="13"/>
      <c r="M714" s="13"/>
      <c r="N714" s="146"/>
      <c r="O714" s="13"/>
      <c r="P714" s="146"/>
      <c r="R714" s="129"/>
      <c r="T714" s="13"/>
    </row>
    <row r="715" spans="1:20" ht="12.75" customHeight="1" x14ac:dyDescent="0.2">
      <c r="A715" s="134"/>
      <c r="B715" s="145"/>
      <c r="C715" s="145"/>
      <c r="D715" s="145"/>
      <c r="E715" s="13"/>
      <c r="F715" s="13"/>
      <c r="G715" s="144"/>
      <c r="H715" s="13"/>
      <c r="I715" s="13"/>
      <c r="J715" s="13"/>
      <c r="K715" s="13"/>
      <c r="L715" s="13"/>
      <c r="M715" s="13"/>
      <c r="N715" s="146"/>
      <c r="O715" s="13"/>
      <c r="P715" s="146"/>
      <c r="R715" s="129"/>
      <c r="T715" s="13"/>
    </row>
    <row r="716" spans="1:20" ht="12.75" customHeight="1" x14ac:dyDescent="0.2">
      <c r="A716" s="134"/>
      <c r="B716" s="145"/>
      <c r="C716" s="145"/>
      <c r="D716" s="145"/>
      <c r="E716" s="13"/>
      <c r="F716" s="13"/>
      <c r="G716" s="144"/>
      <c r="H716" s="13"/>
      <c r="I716" s="13"/>
      <c r="J716" s="13"/>
      <c r="K716" s="13"/>
      <c r="L716" s="13"/>
      <c r="M716" s="13"/>
      <c r="N716" s="146"/>
      <c r="O716" s="13"/>
      <c r="P716" s="146"/>
      <c r="R716" s="129"/>
      <c r="T716" s="13"/>
    </row>
    <row r="717" spans="1:20" ht="12.75" customHeight="1" x14ac:dyDescent="0.2">
      <c r="A717" s="134"/>
      <c r="B717" s="145"/>
      <c r="C717" s="145"/>
      <c r="D717" s="145"/>
      <c r="E717" s="13"/>
      <c r="F717" s="13"/>
      <c r="G717" s="144"/>
      <c r="H717" s="13"/>
      <c r="I717" s="13"/>
      <c r="J717" s="13"/>
      <c r="K717" s="13"/>
      <c r="L717" s="13"/>
      <c r="M717" s="13"/>
      <c r="N717" s="146"/>
      <c r="O717" s="13"/>
      <c r="P717" s="146"/>
      <c r="R717" s="129"/>
      <c r="T717" s="13"/>
    </row>
    <row r="718" spans="1:20" ht="12.75" customHeight="1" x14ac:dyDescent="0.2">
      <c r="A718" s="134"/>
      <c r="B718" s="145"/>
      <c r="C718" s="145"/>
      <c r="D718" s="145"/>
      <c r="E718" s="13"/>
      <c r="F718" s="13"/>
      <c r="G718" s="144"/>
      <c r="H718" s="13"/>
      <c r="I718" s="13"/>
      <c r="J718" s="13"/>
      <c r="K718" s="13"/>
      <c r="L718" s="13"/>
      <c r="M718" s="13"/>
      <c r="N718" s="146"/>
      <c r="O718" s="13"/>
      <c r="P718" s="146"/>
      <c r="R718" s="129"/>
      <c r="T718" s="13"/>
    </row>
    <row r="719" spans="1:20" ht="12.75" customHeight="1" x14ac:dyDescent="0.2">
      <c r="A719" s="134"/>
      <c r="B719" s="145"/>
      <c r="C719" s="145"/>
      <c r="D719" s="145"/>
      <c r="E719" s="13"/>
      <c r="F719" s="13"/>
      <c r="G719" s="144"/>
      <c r="H719" s="13"/>
      <c r="I719" s="13"/>
      <c r="J719" s="13"/>
      <c r="K719" s="13"/>
      <c r="L719" s="13"/>
      <c r="M719" s="13"/>
      <c r="N719" s="146"/>
      <c r="O719" s="13"/>
      <c r="P719" s="146"/>
      <c r="R719" s="129"/>
      <c r="T719" s="13"/>
    </row>
    <row r="720" spans="1:20" ht="12.75" customHeight="1" x14ac:dyDescent="0.2">
      <c r="A720" s="134"/>
      <c r="B720" s="145"/>
      <c r="C720" s="145"/>
      <c r="D720" s="145"/>
      <c r="E720" s="13"/>
      <c r="F720" s="13"/>
      <c r="G720" s="144"/>
      <c r="H720" s="13"/>
      <c r="I720" s="13"/>
      <c r="J720" s="13"/>
      <c r="K720" s="13"/>
      <c r="L720" s="13"/>
      <c r="M720" s="13"/>
      <c r="N720" s="146"/>
      <c r="O720" s="13"/>
      <c r="P720" s="146"/>
      <c r="R720" s="129"/>
      <c r="T720" s="13"/>
    </row>
    <row r="721" spans="1:20" ht="12.75" customHeight="1" x14ac:dyDescent="0.2">
      <c r="A721" s="134"/>
      <c r="B721" s="145"/>
      <c r="C721" s="145"/>
      <c r="D721" s="145"/>
      <c r="E721" s="13"/>
      <c r="F721" s="13"/>
      <c r="G721" s="144"/>
      <c r="H721" s="13"/>
      <c r="I721" s="13"/>
      <c r="J721" s="13"/>
      <c r="K721" s="13"/>
      <c r="L721" s="13"/>
      <c r="M721" s="13"/>
      <c r="N721" s="146"/>
      <c r="O721" s="13"/>
      <c r="P721" s="146"/>
      <c r="R721" s="129"/>
      <c r="T721" s="13"/>
    </row>
    <row r="722" spans="1:20" ht="12.75" customHeight="1" x14ac:dyDescent="0.2">
      <c r="A722" s="134"/>
      <c r="B722" s="145"/>
      <c r="C722" s="145"/>
      <c r="D722" s="145"/>
      <c r="E722" s="13"/>
      <c r="F722" s="13"/>
      <c r="G722" s="144"/>
      <c r="H722" s="13"/>
      <c r="I722" s="13"/>
      <c r="J722" s="13"/>
      <c r="K722" s="13"/>
      <c r="L722" s="13"/>
      <c r="M722" s="13"/>
      <c r="N722" s="146"/>
      <c r="O722" s="13"/>
      <c r="P722" s="146"/>
      <c r="R722" s="129"/>
      <c r="T722" s="13"/>
    </row>
    <row r="723" spans="1:20" ht="12.75" customHeight="1" x14ac:dyDescent="0.2">
      <c r="A723" s="134"/>
      <c r="B723" s="145"/>
      <c r="C723" s="145"/>
      <c r="D723" s="145"/>
      <c r="E723" s="13"/>
      <c r="F723" s="13"/>
      <c r="G723" s="144"/>
      <c r="H723" s="13"/>
      <c r="I723" s="13"/>
      <c r="J723" s="13"/>
      <c r="K723" s="13"/>
      <c r="L723" s="13"/>
      <c r="M723" s="13"/>
      <c r="N723" s="146"/>
      <c r="O723" s="13"/>
      <c r="P723" s="146"/>
      <c r="R723" s="129"/>
      <c r="T723" s="13"/>
    </row>
    <row r="724" spans="1:20" ht="12.75" customHeight="1" x14ac:dyDescent="0.2">
      <c r="A724" s="134"/>
      <c r="B724" s="145"/>
      <c r="C724" s="145"/>
      <c r="D724" s="145"/>
      <c r="E724" s="13"/>
      <c r="F724" s="13"/>
      <c r="G724" s="144"/>
      <c r="H724" s="13"/>
      <c r="I724" s="13"/>
      <c r="J724" s="13"/>
      <c r="K724" s="13"/>
      <c r="L724" s="13"/>
      <c r="M724" s="13"/>
      <c r="N724" s="146"/>
      <c r="O724" s="13"/>
      <c r="P724" s="146"/>
      <c r="R724" s="129"/>
      <c r="T724" s="13"/>
    </row>
    <row r="725" spans="1:20" ht="12.75" customHeight="1" x14ac:dyDescent="0.2">
      <c r="A725" s="134"/>
      <c r="B725" s="145"/>
      <c r="C725" s="145"/>
      <c r="D725" s="145"/>
      <c r="E725" s="13"/>
      <c r="F725" s="13"/>
      <c r="G725" s="144"/>
      <c r="H725" s="13"/>
      <c r="I725" s="13"/>
      <c r="J725" s="13"/>
      <c r="K725" s="13"/>
      <c r="L725" s="13"/>
      <c r="M725" s="13"/>
      <c r="N725" s="146"/>
      <c r="O725" s="13"/>
      <c r="P725" s="146"/>
      <c r="R725" s="129"/>
      <c r="T725" s="13"/>
    </row>
    <row r="726" spans="1:20" ht="12.75" customHeight="1" x14ac:dyDescent="0.2">
      <c r="A726" s="134"/>
      <c r="B726" s="145"/>
      <c r="C726" s="145"/>
      <c r="D726" s="145"/>
      <c r="E726" s="13"/>
      <c r="F726" s="13"/>
      <c r="G726" s="144"/>
      <c r="H726" s="13"/>
      <c r="I726" s="13"/>
      <c r="J726" s="13"/>
      <c r="K726" s="13"/>
      <c r="L726" s="13"/>
      <c r="M726" s="13"/>
      <c r="N726" s="146"/>
      <c r="O726" s="13"/>
      <c r="P726" s="146"/>
      <c r="R726" s="129"/>
      <c r="T726" s="13"/>
    </row>
    <row r="727" spans="1:20" ht="12.75" customHeight="1" x14ac:dyDescent="0.2">
      <c r="A727" s="134"/>
      <c r="B727" s="145"/>
      <c r="C727" s="145"/>
      <c r="D727" s="145"/>
      <c r="E727" s="13"/>
      <c r="F727" s="13"/>
      <c r="G727" s="144"/>
      <c r="H727" s="13"/>
      <c r="I727" s="13"/>
      <c r="J727" s="13"/>
      <c r="K727" s="13"/>
      <c r="L727" s="13"/>
      <c r="M727" s="13"/>
      <c r="N727" s="146"/>
      <c r="O727" s="13"/>
      <c r="P727" s="146"/>
      <c r="R727" s="129"/>
      <c r="T727" s="13"/>
    </row>
    <row r="728" spans="1:20" ht="12.75" customHeight="1" x14ac:dyDescent="0.2">
      <c r="A728" s="134"/>
      <c r="B728" s="145"/>
      <c r="C728" s="145"/>
      <c r="D728" s="145"/>
      <c r="E728" s="13"/>
      <c r="F728" s="13"/>
      <c r="G728" s="144"/>
      <c r="H728" s="13"/>
      <c r="I728" s="13"/>
      <c r="J728" s="13"/>
      <c r="K728" s="13"/>
      <c r="L728" s="13"/>
      <c r="M728" s="13"/>
      <c r="N728" s="146"/>
      <c r="O728" s="13"/>
      <c r="P728" s="146"/>
      <c r="R728" s="129"/>
      <c r="T728" s="13"/>
    </row>
    <row r="729" spans="1:20" ht="12.75" customHeight="1" x14ac:dyDescent="0.2">
      <c r="A729" s="134"/>
      <c r="B729" s="145"/>
      <c r="C729" s="145"/>
      <c r="D729" s="145"/>
      <c r="E729" s="13"/>
      <c r="F729" s="13"/>
      <c r="G729" s="144"/>
      <c r="H729" s="13"/>
      <c r="I729" s="13"/>
      <c r="J729" s="13"/>
      <c r="K729" s="13"/>
      <c r="L729" s="13"/>
      <c r="M729" s="13"/>
      <c r="N729" s="146"/>
      <c r="O729" s="13"/>
      <c r="P729" s="146"/>
      <c r="R729" s="129"/>
      <c r="T729" s="13"/>
    </row>
    <row r="730" spans="1:20" ht="12.75" customHeight="1" x14ac:dyDescent="0.2">
      <c r="A730" s="134"/>
      <c r="B730" s="145"/>
      <c r="C730" s="145"/>
      <c r="D730" s="145"/>
      <c r="E730" s="13"/>
      <c r="F730" s="13"/>
      <c r="G730" s="144"/>
      <c r="H730" s="13"/>
      <c r="I730" s="13"/>
      <c r="J730" s="13"/>
      <c r="K730" s="13"/>
      <c r="L730" s="13"/>
      <c r="M730" s="13"/>
      <c r="N730" s="146"/>
      <c r="O730" s="13"/>
      <c r="P730" s="146"/>
      <c r="R730" s="129"/>
      <c r="T730" s="13"/>
    </row>
    <row r="731" spans="1:20" ht="12.75" customHeight="1" x14ac:dyDescent="0.2">
      <c r="A731" s="134"/>
      <c r="B731" s="145"/>
      <c r="C731" s="145"/>
      <c r="D731" s="145"/>
      <c r="E731" s="13"/>
      <c r="F731" s="13"/>
      <c r="G731" s="144"/>
      <c r="H731" s="13"/>
      <c r="I731" s="13"/>
      <c r="J731" s="13"/>
      <c r="K731" s="13"/>
      <c r="L731" s="13"/>
      <c r="M731" s="13"/>
      <c r="N731" s="146"/>
      <c r="O731" s="13"/>
      <c r="P731" s="146"/>
      <c r="R731" s="129"/>
      <c r="T731" s="13"/>
    </row>
    <row r="732" spans="1:20" ht="12.75" customHeight="1" x14ac:dyDescent="0.2">
      <c r="A732" s="134"/>
      <c r="B732" s="145"/>
      <c r="C732" s="145"/>
      <c r="D732" s="145"/>
      <c r="E732" s="13"/>
      <c r="F732" s="13"/>
      <c r="G732" s="144"/>
      <c r="H732" s="13"/>
      <c r="I732" s="13"/>
      <c r="J732" s="13"/>
      <c r="K732" s="13"/>
      <c r="L732" s="13"/>
      <c r="M732" s="13"/>
      <c r="N732" s="146"/>
      <c r="O732" s="13"/>
      <c r="P732" s="146"/>
      <c r="R732" s="129"/>
      <c r="T732" s="13"/>
    </row>
    <row r="733" spans="1:20" ht="12.75" customHeight="1" x14ac:dyDescent="0.2">
      <c r="A733" s="134"/>
      <c r="B733" s="145"/>
      <c r="C733" s="145"/>
      <c r="D733" s="145"/>
      <c r="E733" s="13"/>
      <c r="F733" s="13"/>
      <c r="G733" s="144"/>
      <c r="H733" s="13"/>
      <c r="I733" s="13"/>
      <c r="J733" s="13"/>
      <c r="K733" s="13"/>
      <c r="L733" s="13"/>
      <c r="M733" s="13"/>
      <c r="N733" s="146"/>
      <c r="O733" s="13"/>
      <c r="P733" s="146"/>
      <c r="R733" s="129"/>
      <c r="T733" s="13"/>
    </row>
    <row r="734" spans="1:20" ht="12.75" customHeight="1" x14ac:dyDescent="0.2">
      <c r="A734" s="134"/>
      <c r="B734" s="145"/>
      <c r="C734" s="145"/>
      <c r="D734" s="145"/>
      <c r="E734" s="13"/>
      <c r="F734" s="13"/>
      <c r="G734" s="144"/>
      <c r="H734" s="13"/>
      <c r="I734" s="13"/>
      <c r="J734" s="13"/>
      <c r="K734" s="13"/>
      <c r="L734" s="13"/>
      <c r="M734" s="13"/>
      <c r="N734" s="146"/>
      <c r="O734" s="13"/>
      <c r="P734" s="146"/>
      <c r="R734" s="129"/>
      <c r="T734" s="13"/>
    </row>
    <row r="735" spans="1:20" ht="12.75" customHeight="1" x14ac:dyDescent="0.2">
      <c r="A735" s="134"/>
      <c r="B735" s="145"/>
      <c r="C735" s="145"/>
      <c r="D735" s="145"/>
      <c r="E735" s="13"/>
      <c r="F735" s="13"/>
      <c r="G735" s="144"/>
      <c r="H735" s="13"/>
      <c r="I735" s="13"/>
      <c r="J735" s="13"/>
      <c r="K735" s="13"/>
      <c r="L735" s="13"/>
      <c r="M735" s="13"/>
      <c r="N735" s="146"/>
      <c r="O735" s="13"/>
      <c r="P735" s="146"/>
      <c r="R735" s="129"/>
      <c r="T735" s="13"/>
    </row>
    <row r="736" spans="1:20" ht="12.75" customHeight="1" x14ac:dyDescent="0.2">
      <c r="A736" s="134"/>
      <c r="B736" s="145"/>
      <c r="C736" s="145"/>
      <c r="D736" s="145"/>
      <c r="E736" s="13"/>
      <c r="F736" s="13"/>
      <c r="G736" s="144"/>
      <c r="H736" s="13"/>
      <c r="I736" s="13"/>
      <c r="J736" s="13"/>
      <c r="K736" s="13"/>
      <c r="L736" s="13"/>
      <c r="M736" s="13"/>
      <c r="N736" s="146"/>
      <c r="O736" s="13"/>
      <c r="P736" s="146"/>
      <c r="R736" s="129"/>
      <c r="T736" s="13"/>
    </row>
    <row r="737" spans="1:20" ht="12.75" customHeight="1" x14ac:dyDescent="0.2">
      <c r="A737" s="134"/>
      <c r="B737" s="145"/>
      <c r="C737" s="145"/>
      <c r="D737" s="145"/>
      <c r="E737" s="13"/>
      <c r="F737" s="13"/>
      <c r="G737" s="144"/>
      <c r="H737" s="13"/>
      <c r="I737" s="13"/>
      <c r="J737" s="13"/>
      <c r="K737" s="13"/>
      <c r="L737" s="13"/>
      <c r="M737" s="13"/>
      <c r="N737" s="146"/>
      <c r="O737" s="13"/>
      <c r="P737" s="146"/>
      <c r="R737" s="129"/>
      <c r="T737" s="13"/>
    </row>
    <row r="738" spans="1:20" ht="12.75" customHeight="1" x14ac:dyDescent="0.2">
      <c r="A738" s="134"/>
      <c r="B738" s="145"/>
      <c r="C738" s="145"/>
      <c r="D738" s="145"/>
      <c r="E738" s="13"/>
      <c r="F738" s="13"/>
      <c r="G738" s="144"/>
      <c r="H738" s="13"/>
      <c r="I738" s="13"/>
      <c r="J738" s="13"/>
      <c r="K738" s="13"/>
      <c r="L738" s="13"/>
      <c r="M738" s="13"/>
      <c r="N738" s="146"/>
      <c r="O738" s="13"/>
      <c r="P738" s="146"/>
      <c r="R738" s="129"/>
      <c r="T738" s="13"/>
    </row>
    <row r="739" spans="1:20" ht="12.75" customHeight="1" x14ac:dyDescent="0.2">
      <c r="A739" s="134"/>
      <c r="B739" s="145"/>
      <c r="C739" s="145"/>
      <c r="D739" s="145"/>
      <c r="E739" s="13"/>
      <c r="F739" s="13"/>
      <c r="G739" s="144"/>
      <c r="H739" s="13"/>
      <c r="I739" s="13"/>
      <c r="J739" s="13"/>
      <c r="K739" s="13"/>
      <c r="L739" s="13"/>
      <c r="M739" s="13"/>
      <c r="N739" s="146"/>
      <c r="O739" s="13"/>
      <c r="P739" s="146"/>
      <c r="R739" s="129"/>
      <c r="T739" s="13"/>
    </row>
    <row r="740" spans="1:20" ht="12.75" customHeight="1" x14ac:dyDescent="0.2">
      <c r="A740" s="134"/>
      <c r="B740" s="145"/>
      <c r="C740" s="145"/>
      <c r="D740" s="145"/>
      <c r="E740" s="13"/>
      <c r="F740" s="13"/>
      <c r="G740" s="144"/>
      <c r="H740" s="13"/>
      <c r="I740" s="13"/>
      <c r="J740" s="13"/>
      <c r="K740" s="13"/>
      <c r="L740" s="13"/>
      <c r="M740" s="13"/>
      <c r="N740" s="146"/>
      <c r="O740" s="13"/>
      <c r="P740" s="146"/>
      <c r="R740" s="129"/>
      <c r="T740" s="13"/>
    </row>
    <row r="741" spans="1:20" ht="12.75" customHeight="1" x14ac:dyDescent="0.2">
      <c r="A741" s="134"/>
      <c r="B741" s="145"/>
      <c r="C741" s="145"/>
      <c r="D741" s="145"/>
      <c r="E741" s="13"/>
      <c r="F741" s="13"/>
      <c r="G741" s="144"/>
      <c r="H741" s="13"/>
      <c r="I741" s="13"/>
      <c r="J741" s="13"/>
      <c r="K741" s="13"/>
      <c r="L741" s="13"/>
      <c r="M741" s="13"/>
      <c r="N741" s="146"/>
      <c r="O741" s="13"/>
      <c r="P741" s="146"/>
      <c r="R741" s="129"/>
      <c r="T741" s="13"/>
    </row>
    <row r="742" spans="1:20" ht="12.75" customHeight="1" x14ac:dyDescent="0.2">
      <c r="A742" s="134"/>
      <c r="B742" s="145"/>
      <c r="C742" s="145"/>
      <c r="D742" s="145"/>
      <c r="E742" s="13"/>
      <c r="F742" s="13"/>
      <c r="G742" s="144"/>
      <c r="H742" s="13"/>
      <c r="I742" s="13"/>
      <c r="J742" s="13"/>
      <c r="K742" s="13"/>
      <c r="L742" s="13"/>
      <c r="M742" s="13"/>
      <c r="N742" s="146"/>
      <c r="O742" s="13"/>
      <c r="P742" s="146"/>
      <c r="R742" s="129"/>
      <c r="T742" s="13"/>
    </row>
    <row r="743" spans="1:20" ht="12.75" customHeight="1" x14ac:dyDescent="0.2">
      <c r="A743" s="134"/>
      <c r="B743" s="145"/>
      <c r="C743" s="145"/>
      <c r="D743" s="145"/>
      <c r="E743" s="13"/>
      <c r="F743" s="13"/>
      <c r="G743" s="144"/>
      <c r="H743" s="13"/>
      <c r="I743" s="13"/>
      <c r="J743" s="13"/>
      <c r="K743" s="13"/>
      <c r="L743" s="13"/>
      <c r="M743" s="13"/>
      <c r="N743" s="146"/>
      <c r="O743" s="13"/>
      <c r="P743" s="146"/>
      <c r="R743" s="129"/>
      <c r="T743" s="13"/>
    </row>
    <row r="744" spans="1:20" ht="12.75" customHeight="1" x14ac:dyDescent="0.2">
      <c r="A744" s="134"/>
      <c r="B744" s="145"/>
      <c r="C744" s="145"/>
      <c r="D744" s="145"/>
      <c r="E744" s="13"/>
      <c r="F744" s="13"/>
      <c r="G744" s="144"/>
      <c r="H744" s="13"/>
      <c r="I744" s="13"/>
      <c r="J744" s="13"/>
      <c r="K744" s="13"/>
      <c r="L744" s="13"/>
      <c r="M744" s="13"/>
      <c r="N744" s="146"/>
      <c r="O744" s="13"/>
      <c r="P744" s="146"/>
      <c r="R744" s="129"/>
      <c r="T744" s="13"/>
    </row>
    <row r="745" spans="1:20" ht="12.75" customHeight="1" x14ac:dyDescent="0.2">
      <c r="A745" s="134"/>
      <c r="B745" s="145"/>
      <c r="C745" s="145"/>
      <c r="D745" s="145"/>
      <c r="E745" s="13"/>
      <c r="F745" s="13"/>
      <c r="G745" s="144"/>
      <c r="H745" s="13"/>
      <c r="I745" s="13"/>
      <c r="J745" s="13"/>
      <c r="K745" s="13"/>
      <c r="L745" s="13"/>
      <c r="M745" s="13"/>
      <c r="N745" s="146"/>
      <c r="O745" s="13"/>
      <c r="P745" s="146"/>
      <c r="R745" s="129"/>
      <c r="T745" s="13"/>
    </row>
    <row r="746" spans="1:20" ht="12.75" customHeight="1" x14ac:dyDescent="0.2">
      <c r="A746" s="134"/>
      <c r="B746" s="145"/>
      <c r="C746" s="145"/>
      <c r="D746" s="145"/>
      <c r="E746" s="13"/>
      <c r="F746" s="13"/>
      <c r="G746" s="144"/>
      <c r="H746" s="13"/>
      <c r="I746" s="13"/>
      <c r="J746" s="13"/>
      <c r="K746" s="13"/>
      <c r="L746" s="13"/>
      <c r="M746" s="13"/>
      <c r="N746" s="146"/>
      <c r="O746" s="13"/>
      <c r="P746" s="146"/>
      <c r="R746" s="129"/>
      <c r="T746" s="13"/>
    </row>
    <row r="747" spans="1:20" ht="12.75" customHeight="1" x14ac:dyDescent="0.2">
      <c r="A747" s="134"/>
      <c r="B747" s="145"/>
      <c r="C747" s="145"/>
      <c r="D747" s="145"/>
      <c r="E747" s="13"/>
      <c r="F747" s="13"/>
      <c r="G747" s="144"/>
      <c r="H747" s="13"/>
      <c r="I747" s="13"/>
      <c r="J747" s="13"/>
      <c r="K747" s="13"/>
      <c r="L747" s="13"/>
      <c r="M747" s="13"/>
      <c r="N747" s="146"/>
      <c r="O747" s="13"/>
      <c r="P747" s="146"/>
      <c r="R747" s="129"/>
      <c r="T747" s="13"/>
    </row>
    <row r="748" spans="1:20" ht="12.75" customHeight="1" x14ac:dyDescent="0.2">
      <c r="A748" s="134"/>
      <c r="B748" s="145"/>
      <c r="C748" s="145"/>
      <c r="D748" s="145"/>
      <c r="E748" s="13"/>
      <c r="F748" s="13"/>
      <c r="G748" s="144"/>
      <c r="H748" s="13"/>
      <c r="I748" s="13"/>
      <c r="J748" s="13"/>
      <c r="K748" s="13"/>
      <c r="L748" s="13"/>
      <c r="M748" s="13"/>
      <c r="N748" s="146"/>
      <c r="O748" s="13"/>
      <c r="P748" s="146"/>
      <c r="R748" s="129"/>
      <c r="T748" s="13"/>
    </row>
    <row r="749" spans="1:20" ht="12.75" customHeight="1" x14ac:dyDescent="0.2">
      <c r="A749" s="134"/>
      <c r="B749" s="145"/>
      <c r="C749" s="145"/>
      <c r="D749" s="145"/>
      <c r="E749" s="13"/>
      <c r="F749" s="13"/>
      <c r="G749" s="144"/>
      <c r="H749" s="13"/>
      <c r="I749" s="13"/>
      <c r="J749" s="13"/>
      <c r="K749" s="13"/>
      <c r="L749" s="13"/>
      <c r="M749" s="13"/>
      <c r="N749" s="146"/>
      <c r="O749" s="13"/>
      <c r="P749" s="146"/>
      <c r="R749" s="129"/>
      <c r="T749" s="13"/>
    </row>
    <row r="750" spans="1:20" ht="12.75" customHeight="1" x14ac:dyDescent="0.2">
      <c r="A750" s="134"/>
      <c r="B750" s="145"/>
      <c r="C750" s="145"/>
      <c r="D750" s="145"/>
      <c r="E750" s="13"/>
      <c r="F750" s="13"/>
      <c r="G750" s="144"/>
      <c r="H750" s="13"/>
      <c r="I750" s="13"/>
      <c r="J750" s="13"/>
      <c r="K750" s="13"/>
      <c r="L750" s="13"/>
      <c r="M750" s="13"/>
      <c r="N750" s="146"/>
      <c r="O750" s="13"/>
      <c r="P750" s="146"/>
      <c r="R750" s="129"/>
      <c r="T750" s="13"/>
    </row>
    <row r="751" spans="1:20" ht="12.75" customHeight="1" x14ac:dyDescent="0.2">
      <c r="A751" s="134"/>
      <c r="B751" s="145"/>
      <c r="C751" s="145"/>
      <c r="D751" s="145"/>
      <c r="E751" s="13"/>
      <c r="F751" s="13"/>
      <c r="G751" s="144"/>
      <c r="H751" s="13"/>
      <c r="I751" s="13"/>
      <c r="J751" s="13"/>
      <c r="K751" s="13"/>
      <c r="L751" s="13"/>
      <c r="M751" s="13"/>
      <c r="N751" s="146"/>
      <c r="O751" s="13"/>
      <c r="P751" s="146"/>
      <c r="R751" s="129"/>
      <c r="T751" s="13"/>
    </row>
    <row r="752" spans="1:20" ht="12.75" customHeight="1" x14ac:dyDescent="0.2">
      <c r="A752" s="134"/>
      <c r="B752" s="145"/>
      <c r="C752" s="145"/>
      <c r="D752" s="145"/>
      <c r="E752" s="13"/>
      <c r="F752" s="13"/>
      <c r="G752" s="144"/>
      <c r="H752" s="13"/>
      <c r="I752" s="13"/>
      <c r="J752" s="13"/>
      <c r="K752" s="13"/>
      <c r="L752" s="13"/>
      <c r="M752" s="13"/>
      <c r="N752" s="146"/>
      <c r="O752" s="13"/>
      <c r="P752" s="146"/>
      <c r="R752" s="129"/>
      <c r="T752" s="13"/>
    </row>
    <row r="753" spans="1:20" ht="12.75" customHeight="1" x14ac:dyDescent="0.2">
      <c r="A753" s="134"/>
      <c r="B753" s="145"/>
      <c r="C753" s="145"/>
      <c r="D753" s="145"/>
      <c r="E753" s="13"/>
      <c r="F753" s="13"/>
      <c r="G753" s="144"/>
      <c r="H753" s="13"/>
      <c r="I753" s="13"/>
      <c r="J753" s="13"/>
      <c r="K753" s="13"/>
      <c r="L753" s="13"/>
      <c r="M753" s="13"/>
      <c r="N753" s="146"/>
      <c r="O753" s="13"/>
      <c r="P753" s="146"/>
      <c r="R753" s="129"/>
      <c r="T753" s="13"/>
    </row>
    <row r="754" spans="1:20" ht="12.75" customHeight="1" x14ac:dyDescent="0.2">
      <c r="A754" s="134"/>
      <c r="B754" s="145"/>
      <c r="C754" s="145"/>
      <c r="D754" s="145"/>
      <c r="E754" s="13"/>
      <c r="F754" s="13"/>
      <c r="G754" s="144"/>
      <c r="H754" s="13"/>
      <c r="I754" s="13"/>
      <c r="J754" s="13"/>
      <c r="K754" s="13"/>
      <c r="L754" s="13"/>
      <c r="M754" s="13"/>
      <c r="N754" s="146"/>
      <c r="O754" s="13"/>
      <c r="P754" s="146"/>
      <c r="R754" s="129"/>
      <c r="T754" s="13"/>
    </row>
    <row r="755" spans="1:20" ht="12.75" customHeight="1" x14ac:dyDescent="0.2">
      <c r="A755" s="134"/>
      <c r="B755" s="145"/>
      <c r="C755" s="145"/>
      <c r="D755" s="145"/>
      <c r="E755" s="13"/>
      <c r="F755" s="13"/>
      <c r="G755" s="144"/>
      <c r="H755" s="13"/>
      <c r="I755" s="13"/>
      <c r="J755" s="13"/>
      <c r="K755" s="13"/>
      <c r="L755" s="13"/>
      <c r="M755" s="13"/>
      <c r="N755" s="146"/>
      <c r="O755" s="13"/>
      <c r="P755" s="146"/>
      <c r="R755" s="129"/>
      <c r="T755" s="13"/>
    </row>
    <row r="756" spans="1:20" ht="12.75" customHeight="1" x14ac:dyDescent="0.2">
      <c r="A756" s="134"/>
      <c r="B756" s="145"/>
      <c r="C756" s="145"/>
      <c r="D756" s="145"/>
      <c r="E756" s="13"/>
      <c r="F756" s="13"/>
      <c r="G756" s="144"/>
      <c r="H756" s="13"/>
      <c r="I756" s="13"/>
      <c r="J756" s="13"/>
      <c r="K756" s="13"/>
      <c r="L756" s="13"/>
      <c r="M756" s="13"/>
      <c r="N756" s="146"/>
      <c r="O756" s="13"/>
      <c r="P756" s="146"/>
      <c r="R756" s="129"/>
      <c r="T756" s="13"/>
    </row>
    <row r="757" spans="1:20" ht="12.75" customHeight="1" x14ac:dyDescent="0.2">
      <c r="A757" s="134"/>
      <c r="B757" s="145"/>
      <c r="C757" s="145"/>
      <c r="D757" s="145"/>
      <c r="E757" s="13"/>
      <c r="F757" s="13"/>
      <c r="G757" s="144"/>
      <c r="H757" s="13"/>
      <c r="I757" s="13"/>
      <c r="J757" s="13"/>
      <c r="K757" s="13"/>
      <c r="L757" s="13"/>
      <c r="M757" s="13"/>
      <c r="N757" s="146"/>
      <c r="O757" s="13"/>
      <c r="P757" s="146"/>
      <c r="R757" s="129"/>
      <c r="T757" s="13"/>
    </row>
    <row r="758" spans="1:20" ht="12.75" customHeight="1" x14ac:dyDescent="0.2">
      <c r="A758" s="134"/>
      <c r="B758" s="145"/>
      <c r="C758" s="145"/>
      <c r="D758" s="145"/>
      <c r="E758" s="13"/>
      <c r="F758" s="13"/>
      <c r="G758" s="144"/>
      <c r="H758" s="13"/>
      <c r="I758" s="13"/>
      <c r="J758" s="13"/>
      <c r="K758" s="13"/>
      <c r="L758" s="13"/>
      <c r="M758" s="13"/>
      <c r="N758" s="146"/>
      <c r="O758" s="13"/>
      <c r="P758" s="146"/>
      <c r="R758" s="129"/>
      <c r="T758" s="13"/>
    </row>
    <row r="759" spans="1:20" ht="12.75" customHeight="1" x14ac:dyDescent="0.2">
      <c r="A759" s="134"/>
      <c r="B759" s="145"/>
      <c r="C759" s="145"/>
      <c r="D759" s="145"/>
      <c r="E759" s="13"/>
      <c r="F759" s="13"/>
      <c r="G759" s="144"/>
      <c r="H759" s="13"/>
      <c r="I759" s="13"/>
      <c r="J759" s="13"/>
      <c r="K759" s="13"/>
      <c r="L759" s="13"/>
      <c r="M759" s="13"/>
      <c r="N759" s="146"/>
      <c r="O759" s="13"/>
      <c r="P759" s="146"/>
      <c r="R759" s="129"/>
      <c r="T759" s="13"/>
    </row>
    <row r="760" spans="1:20" ht="12.75" customHeight="1" x14ac:dyDescent="0.2">
      <c r="A760" s="134"/>
      <c r="B760" s="145"/>
      <c r="C760" s="145"/>
      <c r="D760" s="145"/>
      <c r="E760" s="13"/>
      <c r="F760" s="13"/>
      <c r="G760" s="144"/>
      <c r="H760" s="13"/>
      <c r="I760" s="13"/>
      <c r="J760" s="13"/>
      <c r="K760" s="13"/>
      <c r="L760" s="13"/>
      <c r="M760" s="13"/>
      <c r="N760" s="146"/>
      <c r="O760" s="13"/>
      <c r="P760" s="146"/>
      <c r="R760" s="129"/>
      <c r="T760" s="13"/>
    </row>
    <row r="761" spans="1:20" ht="12.75" customHeight="1" x14ac:dyDescent="0.2">
      <c r="A761" s="134"/>
      <c r="B761" s="145"/>
      <c r="C761" s="145"/>
      <c r="D761" s="145"/>
      <c r="E761" s="13"/>
      <c r="F761" s="13"/>
      <c r="G761" s="144"/>
      <c r="H761" s="13"/>
      <c r="I761" s="13"/>
      <c r="J761" s="13"/>
      <c r="K761" s="13"/>
      <c r="L761" s="13"/>
      <c r="M761" s="13"/>
      <c r="N761" s="146"/>
      <c r="O761" s="13"/>
      <c r="P761" s="146"/>
      <c r="R761" s="129"/>
      <c r="T761" s="13"/>
    </row>
    <row r="762" spans="1:20" ht="12.75" customHeight="1" x14ac:dyDescent="0.2">
      <c r="A762" s="134"/>
      <c r="B762" s="145"/>
      <c r="C762" s="145"/>
      <c r="D762" s="145"/>
      <c r="E762" s="13"/>
      <c r="F762" s="13"/>
      <c r="G762" s="144"/>
      <c r="H762" s="13"/>
      <c r="I762" s="13"/>
      <c r="J762" s="13"/>
      <c r="K762" s="13"/>
      <c r="L762" s="13"/>
      <c r="M762" s="13"/>
      <c r="N762" s="146"/>
      <c r="O762" s="13"/>
      <c r="P762" s="146"/>
      <c r="R762" s="129"/>
      <c r="T762" s="13"/>
    </row>
    <row r="763" spans="1:20" ht="12.75" customHeight="1" x14ac:dyDescent="0.2">
      <c r="A763" s="134"/>
      <c r="B763" s="145"/>
      <c r="C763" s="145"/>
      <c r="D763" s="145"/>
      <c r="E763" s="13"/>
      <c r="F763" s="13"/>
      <c r="G763" s="144"/>
      <c r="H763" s="13"/>
      <c r="I763" s="13"/>
      <c r="J763" s="13"/>
      <c r="K763" s="13"/>
      <c r="L763" s="13"/>
      <c r="M763" s="13"/>
      <c r="N763" s="146"/>
      <c r="O763" s="13"/>
      <c r="P763" s="146"/>
      <c r="R763" s="129"/>
      <c r="T763" s="13"/>
    </row>
    <row r="764" spans="1:20" ht="12.75" customHeight="1" x14ac:dyDescent="0.2">
      <c r="A764" s="134"/>
      <c r="B764" s="145"/>
      <c r="C764" s="145"/>
      <c r="D764" s="145"/>
      <c r="E764" s="13"/>
      <c r="F764" s="13"/>
      <c r="G764" s="144"/>
      <c r="H764" s="13"/>
      <c r="I764" s="13"/>
      <c r="J764" s="13"/>
      <c r="K764" s="13"/>
      <c r="L764" s="13"/>
      <c r="M764" s="13"/>
      <c r="N764" s="146"/>
      <c r="O764" s="13"/>
      <c r="P764" s="146"/>
      <c r="R764" s="129"/>
      <c r="T764" s="13"/>
    </row>
    <row r="765" spans="1:20" ht="12.75" customHeight="1" x14ac:dyDescent="0.2">
      <c r="A765" s="134"/>
      <c r="B765" s="145"/>
      <c r="C765" s="145"/>
      <c r="D765" s="145"/>
      <c r="E765" s="13"/>
      <c r="F765" s="13"/>
      <c r="G765" s="144"/>
      <c r="H765" s="13"/>
      <c r="I765" s="13"/>
      <c r="J765" s="13"/>
      <c r="K765" s="13"/>
      <c r="L765" s="13"/>
      <c r="M765" s="13"/>
      <c r="N765" s="146"/>
      <c r="O765" s="13"/>
      <c r="P765" s="146"/>
      <c r="R765" s="129"/>
      <c r="T765" s="13"/>
    </row>
    <row r="766" spans="1:20" ht="12.75" customHeight="1" x14ac:dyDescent="0.2">
      <c r="A766" s="134"/>
      <c r="B766" s="145"/>
      <c r="C766" s="145"/>
      <c r="D766" s="145"/>
      <c r="E766" s="13"/>
      <c r="F766" s="13"/>
      <c r="G766" s="144"/>
      <c r="H766" s="13"/>
      <c r="I766" s="13"/>
      <c r="J766" s="13"/>
      <c r="K766" s="13"/>
      <c r="L766" s="13"/>
      <c r="M766" s="13"/>
      <c r="N766" s="146"/>
      <c r="O766" s="13"/>
      <c r="P766" s="146"/>
      <c r="R766" s="129"/>
      <c r="T766" s="13"/>
    </row>
    <row r="767" spans="1:20" ht="12.75" customHeight="1" x14ac:dyDescent="0.2">
      <c r="A767" s="134"/>
      <c r="B767" s="145"/>
      <c r="C767" s="145"/>
      <c r="D767" s="145"/>
      <c r="E767" s="13"/>
      <c r="F767" s="13"/>
      <c r="G767" s="144"/>
      <c r="H767" s="13"/>
      <c r="I767" s="13"/>
      <c r="J767" s="13"/>
      <c r="K767" s="13"/>
      <c r="L767" s="13"/>
      <c r="M767" s="13"/>
      <c r="N767" s="146"/>
      <c r="O767" s="13"/>
      <c r="P767" s="146"/>
      <c r="R767" s="129"/>
      <c r="T767" s="13"/>
    </row>
    <row r="768" spans="1:20" ht="12.75" customHeight="1" x14ac:dyDescent="0.2">
      <c r="A768" s="134"/>
      <c r="B768" s="145"/>
      <c r="C768" s="145"/>
      <c r="D768" s="145"/>
      <c r="E768" s="13"/>
      <c r="F768" s="13"/>
      <c r="G768" s="144"/>
      <c r="H768" s="13"/>
      <c r="I768" s="13"/>
      <c r="J768" s="13"/>
      <c r="K768" s="13"/>
      <c r="L768" s="13"/>
      <c r="M768" s="13"/>
      <c r="N768" s="146"/>
      <c r="O768" s="13"/>
      <c r="P768" s="146"/>
      <c r="R768" s="129"/>
      <c r="T768" s="13"/>
    </row>
    <row r="769" spans="1:20" ht="12.75" customHeight="1" x14ac:dyDescent="0.2">
      <c r="A769" s="134"/>
      <c r="B769" s="145"/>
      <c r="C769" s="145"/>
      <c r="D769" s="145"/>
      <c r="E769" s="13"/>
      <c r="F769" s="13"/>
      <c r="G769" s="144"/>
      <c r="H769" s="13"/>
      <c r="I769" s="13"/>
      <c r="J769" s="13"/>
      <c r="K769" s="13"/>
      <c r="L769" s="13"/>
      <c r="M769" s="13"/>
      <c r="N769" s="146"/>
      <c r="O769" s="13"/>
      <c r="P769" s="146"/>
      <c r="R769" s="129"/>
      <c r="T769" s="13"/>
    </row>
    <row r="770" spans="1:20" ht="12.75" customHeight="1" x14ac:dyDescent="0.2">
      <c r="A770" s="134"/>
      <c r="B770" s="145"/>
      <c r="C770" s="145"/>
      <c r="D770" s="145"/>
      <c r="E770" s="13"/>
      <c r="F770" s="13"/>
      <c r="G770" s="144"/>
      <c r="H770" s="13"/>
      <c r="I770" s="13"/>
      <c r="J770" s="13"/>
      <c r="K770" s="13"/>
      <c r="L770" s="13"/>
      <c r="M770" s="13"/>
      <c r="N770" s="146"/>
      <c r="O770" s="13"/>
      <c r="P770" s="146"/>
      <c r="R770" s="129"/>
      <c r="T770" s="13"/>
    </row>
    <row r="771" spans="1:20" ht="12.75" customHeight="1" x14ac:dyDescent="0.2">
      <c r="A771" s="134"/>
      <c r="B771" s="145"/>
      <c r="C771" s="145"/>
      <c r="D771" s="145"/>
      <c r="E771" s="13"/>
      <c r="F771" s="13"/>
      <c r="G771" s="144"/>
      <c r="H771" s="13"/>
      <c r="I771" s="13"/>
      <c r="J771" s="13"/>
      <c r="K771" s="13"/>
      <c r="L771" s="13"/>
      <c r="M771" s="13"/>
      <c r="N771" s="146"/>
      <c r="O771" s="13"/>
      <c r="P771" s="146"/>
      <c r="R771" s="129"/>
      <c r="T771" s="13"/>
    </row>
    <row r="772" spans="1:20" ht="12.75" customHeight="1" x14ac:dyDescent="0.2">
      <c r="A772" s="134"/>
      <c r="B772" s="145"/>
      <c r="C772" s="145"/>
      <c r="D772" s="145"/>
      <c r="E772" s="13"/>
      <c r="F772" s="13"/>
      <c r="G772" s="144"/>
      <c r="H772" s="13"/>
      <c r="I772" s="13"/>
      <c r="J772" s="13"/>
      <c r="K772" s="13"/>
      <c r="L772" s="13"/>
      <c r="M772" s="13"/>
      <c r="N772" s="146"/>
      <c r="O772" s="13"/>
      <c r="P772" s="146"/>
      <c r="R772" s="129"/>
      <c r="T772" s="13"/>
    </row>
    <row r="773" spans="1:20" ht="12.75" customHeight="1" x14ac:dyDescent="0.2">
      <c r="A773" s="134"/>
      <c r="B773" s="145"/>
      <c r="C773" s="145"/>
      <c r="D773" s="145"/>
      <c r="E773" s="13"/>
      <c r="F773" s="13"/>
      <c r="G773" s="144"/>
      <c r="H773" s="13"/>
      <c r="I773" s="13"/>
      <c r="J773" s="13"/>
      <c r="K773" s="13"/>
      <c r="L773" s="13"/>
      <c r="M773" s="13"/>
      <c r="N773" s="146"/>
      <c r="O773" s="13"/>
      <c r="P773" s="146"/>
      <c r="R773" s="129"/>
      <c r="T773" s="13"/>
    </row>
    <row r="774" spans="1:20" ht="12.75" customHeight="1" x14ac:dyDescent="0.2">
      <c r="A774" s="134"/>
      <c r="B774" s="145"/>
      <c r="C774" s="145"/>
      <c r="D774" s="145"/>
      <c r="E774" s="13"/>
      <c r="F774" s="13"/>
      <c r="G774" s="144"/>
      <c r="H774" s="13"/>
      <c r="I774" s="13"/>
      <c r="J774" s="13"/>
      <c r="K774" s="13"/>
      <c r="L774" s="13"/>
      <c r="M774" s="13"/>
      <c r="N774" s="146"/>
      <c r="O774" s="13"/>
      <c r="P774" s="146"/>
      <c r="R774" s="129"/>
      <c r="T774" s="13"/>
    </row>
    <row r="775" spans="1:20" ht="12.75" customHeight="1" x14ac:dyDescent="0.2">
      <c r="A775" s="134"/>
      <c r="B775" s="145"/>
      <c r="C775" s="145"/>
      <c r="D775" s="145"/>
      <c r="E775" s="13"/>
      <c r="F775" s="13"/>
      <c r="G775" s="144"/>
      <c r="H775" s="13"/>
      <c r="I775" s="13"/>
      <c r="J775" s="13"/>
      <c r="K775" s="13"/>
      <c r="L775" s="13"/>
      <c r="M775" s="13"/>
      <c r="N775" s="146"/>
      <c r="O775" s="13"/>
      <c r="P775" s="146"/>
      <c r="R775" s="129"/>
      <c r="T775" s="13"/>
    </row>
    <row r="776" spans="1:20" ht="12.75" customHeight="1" x14ac:dyDescent="0.2">
      <c r="A776" s="134"/>
      <c r="B776" s="145"/>
      <c r="C776" s="145"/>
      <c r="D776" s="145"/>
      <c r="E776" s="13"/>
      <c r="F776" s="13"/>
      <c r="G776" s="144"/>
      <c r="H776" s="13"/>
      <c r="I776" s="13"/>
      <c r="J776" s="13"/>
      <c r="K776" s="13"/>
      <c r="L776" s="13"/>
      <c r="M776" s="13"/>
      <c r="N776" s="146"/>
      <c r="O776" s="13"/>
      <c r="P776" s="146"/>
      <c r="R776" s="129"/>
      <c r="T776" s="13"/>
    </row>
    <row r="777" spans="1:20" ht="12.75" customHeight="1" x14ac:dyDescent="0.2">
      <c r="A777" s="134"/>
      <c r="B777" s="145"/>
      <c r="C777" s="145"/>
      <c r="D777" s="145"/>
      <c r="E777" s="13"/>
      <c r="F777" s="13"/>
      <c r="G777" s="144"/>
      <c r="H777" s="13"/>
      <c r="I777" s="13"/>
      <c r="J777" s="13"/>
      <c r="K777" s="13"/>
      <c r="L777" s="13"/>
      <c r="M777" s="13"/>
      <c r="N777" s="146"/>
      <c r="O777" s="13"/>
      <c r="P777" s="146"/>
      <c r="R777" s="129"/>
      <c r="T777" s="13"/>
    </row>
    <row r="778" spans="1:20" ht="12.75" customHeight="1" x14ac:dyDescent="0.2">
      <c r="A778" s="134"/>
      <c r="B778" s="145"/>
      <c r="C778" s="145"/>
      <c r="D778" s="145"/>
      <c r="E778" s="13"/>
      <c r="F778" s="13"/>
      <c r="G778" s="144"/>
      <c r="H778" s="13"/>
      <c r="I778" s="13"/>
      <c r="J778" s="13"/>
      <c r="K778" s="13"/>
      <c r="L778" s="13"/>
      <c r="M778" s="13"/>
      <c r="N778" s="146"/>
      <c r="O778" s="13"/>
      <c r="P778" s="146"/>
      <c r="R778" s="129"/>
      <c r="T778" s="13"/>
    </row>
    <row r="779" spans="1:20" ht="12.75" customHeight="1" x14ac:dyDescent="0.2">
      <c r="A779" s="134"/>
      <c r="B779" s="145"/>
      <c r="C779" s="145"/>
      <c r="D779" s="145"/>
      <c r="E779" s="13"/>
      <c r="F779" s="13"/>
      <c r="G779" s="144"/>
      <c r="H779" s="13"/>
      <c r="I779" s="13"/>
      <c r="J779" s="13"/>
      <c r="K779" s="13"/>
      <c r="L779" s="13"/>
      <c r="M779" s="13"/>
      <c r="N779" s="146"/>
      <c r="O779" s="13"/>
      <c r="P779" s="146"/>
      <c r="R779" s="129"/>
      <c r="T779" s="13"/>
    </row>
    <row r="780" spans="1:20" ht="12.75" customHeight="1" x14ac:dyDescent="0.2">
      <c r="A780" s="134"/>
      <c r="B780" s="145"/>
      <c r="C780" s="145"/>
      <c r="D780" s="145"/>
      <c r="E780" s="13"/>
      <c r="F780" s="13"/>
      <c r="G780" s="144"/>
      <c r="H780" s="13"/>
      <c r="I780" s="13"/>
      <c r="J780" s="13"/>
      <c r="K780" s="13"/>
      <c r="L780" s="13"/>
      <c r="M780" s="13"/>
      <c r="N780" s="146"/>
      <c r="O780" s="13"/>
      <c r="P780" s="146"/>
      <c r="R780" s="129"/>
      <c r="T780" s="13"/>
    </row>
    <row r="781" spans="1:20" ht="12.75" customHeight="1" x14ac:dyDescent="0.2">
      <c r="A781" s="134"/>
      <c r="B781" s="145"/>
      <c r="C781" s="145"/>
      <c r="D781" s="145"/>
      <c r="E781" s="13"/>
      <c r="F781" s="13"/>
      <c r="G781" s="144"/>
      <c r="H781" s="13"/>
      <c r="I781" s="13"/>
      <c r="J781" s="13"/>
      <c r="K781" s="13"/>
      <c r="L781" s="13"/>
      <c r="M781" s="13"/>
      <c r="N781" s="146"/>
      <c r="O781" s="13"/>
      <c r="P781" s="146"/>
      <c r="R781" s="129"/>
      <c r="T781" s="13"/>
    </row>
    <row r="782" spans="1:20" ht="12.75" customHeight="1" x14ac:dyDescent="0.2">
      <c r="A782" s="134"/>
      <c r="B782" s="145"/>
      <c r="C782" s="145"/>
      <c r="D782" s="145"/>
      <c r="E782" s="13"/>
      <c r="F782" s="13"/>
      <c r="G782" s="144"/>
      <c r="H782" s="13"/>
      <c r="I782" s="13"/>
      <c r="J782" s="13"/>
      <c r="K782" s="13"/>
      <c r="L782" s="13"/>
      <c r="M782" s="13"/>
      <c r="N782" s="146"/>
      <c r="O782" s="13"/>
      <c r="P782" s="146"/>
      <c r="R782" s="129"/>
      <c r="T782" s="13"/>
    </row>
    <row r="783" spans="1:20" ht="12.75" customHeight="1" x14ac:dyDescent="0.2">
      <c r="A783" s="134"/>
      <c r="B783" s="145"/>
      <c r="C783" s="145"/>
      <c r="D783" s="145"/>
      <c r="E783" s="13"/>
      <c r="F783" s="13"/>
      <c r="G783" s="144"/>
      <c r="H783" s="13"/>
      <c r="I783" s="13"/>
      <c r="J783" s="13"/>
      <c r="K783" s="13"/>
      <c r="L783" s="13"/>
      <c r="M783" s="13"/>
      <c r="N783" s="146"/>
      <c r="O783" s="13"/>
      <c r="P783" s="146"/>
      <c r="R783" s="129"/>
      <c r="T783" s="13"/>
    </row>
    <row r="784" spans="1:20" ht="12.75" customHeight="1" x14ac:dyDescent="0.2">
      <c r="A784" s="134"/>
      <c r="B784" s="145"/>
      <c r="C784" s="145"/>
      <c r="D784" s="145"/>
      <c r="E784" s="13"/>
      <c r="F784" s="13"/>
      <c r="G784" s="144"/>
      <c r="H784" s="13"/>
      <c r="I784" s="13"/>
      <c r="J784" s="13"/>
      <c r="K784" s="13"/>
      <c r="L784" s="13"/>
      <c r="M784" s="13"/>
      <c r="N784" s="146"/>
      <c r="O784" s="13"/>
      <c r="P784" s="146"/>
      <c r="R784" s="129"/>
      <c r="T784" s="13"/>
    </row>
    <row r="785" spans="1:20" ht="12.75" customHeight="1" x14ac:dyDescent="0.2">
      <c r="A785" s="134"/>
      <c r="B785" s="145"/>
      <c r="C785" s="145"/>
      <c r="D785" s="145"/>
      <c r="E785" s="13"/>
      <c r="F785" s="13"/>
      <c r="G785" s="144"/>
      <c r="H785" s="13"/>
      <c r="I785" s="13"/>
      <c r="J785" s="13"/>
      <c r="K785" s="13"/>
      <c r="L785" s="13"/>
      <c r="M785" s="13"/>
      <c r="N785" s="146"/>
      <c r="O785" s="13"/>
      <c r="P785" s="146"/>
      <c r="R785" s="129"/>
      <c r="T785" s="13"/>
    </row>
    <row r="786" spans="1:20" ht="12.75" customHeight="1" x14ac:dyDescent="0.2">
      <c r="A786" s="134"/>
      <c r="B786" s="145"/>
      <c r="C786" s="145"/>
      <c r="D786" s="145"/>
      <c r="E786" s="13"/>
      <c r="F786" s="13"/>
      <c r="G786" s="144"/>
      <c r="H786" s="13"/>
      <c r="I786" s="13"/>
      <c r="J786" s="13"/>
      <c r="K786" s="13"/>
      <c r="L786" s="13"/>
      <c r="M786" s="13"/>
      <c r="N786" s="146"/>
      <c r="O786" s="13"/>
      <c r="P786" s="146"/>
      <c r="R786" s="129"/>
      <c r="T786" s="13"/>
    </row>
    <row r="787" spans="1:20" ht="12.75" customHeight="1" x14ac:dyDescent="0.2">
      <c r="A787" s="134"/>
      <c r="B787" s="145"/>
      <c r="C787" s="145"/>
      <c r="D787" s="145"/>
      <c r="E787" s="13"/>
      <c r="F787" s="13"/>
      <c r="G787" s="144"/>
      <c r="H787" s="13"/>
      <c r="I787" s="13"/>
      <c r="J787" s="13"/>
      <c r="K787" s="13"/>
      <c r="L787" s="13"/>
      <c r="M787" s="13"/>
      <c r="N787" s="146"/>
      <c r="O787" s="13"/>
      <c r="P787" s="146"/>
      <c r="R787" s="129"/>
      <c r="T787" s="13"/>
    </row>
    <row r="788" spans="1:20" ht="12.75" customHeight="1" x14ac:dyDescent="0.2">
      <c r="A788" s="134"/>
      <c r="B788" s="145"/>
      <c r="C788" s="145"/>
      <c r="D788" s="145"/>
      <c r="E788" s="13"/>
      <c r="F788" s="13"/>
      <c r="G788" s="144"/>
      <c r="H788" s="13"/>
      <c r="I788" s="13"/>
      <c r="J788" s="13"/>
      <c r="K788" s="13"/>
      <c r="L788" s="13"/>
      <c r="M788" s="13"/>
      <c r="N788" s="146"/>
      <c r="O788" s="13"/>
      <c r="P788" s="146"/>
      <c r="R788" s="129"/>
      <c r="T788" s="13"/>
    </row>
    <row r="789" spans="1:20" ht="12.75" customHeight="1" x14ac:dyDescent="0.2">
      <c r="A789" s="134"/>
      <c r="B789" s="145"/>
      <c r="C789" s="145"/>
      <c r="D789" s="145"/>
      <c r="E789" s="13"/>
      <c r="F789" s="13"/>
      <c r="G789" s="144"/>
      <c r="H789" s="13"/>
      <c r="I789" s="13"/>
      <c r="J789" s="13"/>
      <c r="K789" s="13"/>
      <c r="L789" s="13"/>
      <c r="M789" s="13"/>
      <c r="N789" s="146"/>
      <c r="O789" s="13"/>
      <c r="P789" s="146"/>
      <c r="R789" s="129"/>
      <c r="T789" s="13"/>
    </row>
    <row r="790" spans="1:20" ht="12.75" customHeight="1" x14ac:dyDescent="0.2">
      <c r="A790" s="134"/>
      <c r="B790" s="145"/>
      <c r="C790" s="145"/>
      <c r="D790" s="145"/>
      <c r="E790" s="13"/>
      <c r="F790" s="13"/>
      <c r="G790" s="144"/>
      <c r="H790" s="13"/>
      <c r="I790" s="13"/>
      <c r="J790" s="13"/>
      <c r="K790" s="13"/>
      <c r="L790" s="13"/>
      <c r="M790" s="13"/>
      <c r="N790" s="146"/>
      <c r="O790" s="13"/>
      <c r="P790" s="146"/>
      <c r="R790" s="129"/>
      <c r="T790" s="13"/>
    </row>
    <row r="791" spans="1:20" ht="12.75" customHeight="1" x14ac:dyDescent="0.2">
      <c r="A791" s="134"/>
      <c r="B791" s="145"/>
      <c r="C791" s="145"/>
      <c r="D791" s="145"/>
      <c r="E791" s="13"/>
      <c r="F791" s="13"/>
      <c r="G791" s="144"/>
      <c r="H791" s="13"/>
      <c r="I791" s="13"/>
      <c r="J791" s="13"/>
      <c r="K791" s="13"/>
      <c r="L791" s="13"/>
      <c r="M791" s="13"/>
      <c r="N791" s="146"/>
      <c r="O791" s="13"/>
      <c r="P791" s="146"/>
      <c r="R791" s="129"/>
      <c r="T791" s="13"/>
    </row>
    <row r="792" spans="1:20" ht="12.75" customHeight="1" x14ac:dyDescent="0.2">
      <c r="A792" s="134"/>
      <c r="B792" s="145"/>
      <c r="C792" s="145"/>
      <c r="D792" s="145"/>
      <c r="E792" s="13"/>
      <c r="F792" s="13"/>
      <c r="G792" s="144"/>
      <c r="H792" s="13"/>
      <c r="I792" s="13"/>
      <c r="J792" s="13"/>
      <c r="K792" s="13"/>
      <c r="L792" s="13"/>
      <c r="M792" s="13"/>
      <c r="N792" s="146"/>
      <c r="O792" s="13"/>
      <c r="P792" s="146"/>
      <c r="R792" s="129"/>
      <c r="T792" s="13"/>
    </row>
    <row r="793" spans="1:20" ht="12.75" customHeight="1" x14ac:dyDescent="0.2">
      <c r="A793" s="134"/>
      <c r="B793" s="145"/>
      <c r="C793" s="145"/>
      <c r="D793" s="145"/>
      <c r="E793" s="13"/>
      <c r="F793" s="13"/>
      <c r="G793" s="144"/>
      <c r="H793" s="13"/>
      <c r="I793" s="13"/>
      <c r="J793" s="13"/>
      <c r="K793" s="13"/>
      <c r="L793" s="13"/>
      <c r="M793" s="13"/>
      <c r="N793" s="146"/>
      <c r="O793" s="13"/>
      <c r="P793" s="146"/>
      <c r="R793" s="129"/>
      <c r="T793" s="13"/>
    </row>
    <row r="794" spans="1:20" ht="12.75" customHeight="1" x14ac:dyDescent="0.2">
      <c r="A794" s="134"/>
      <c r="B794" s="145"/>
      <c r="C794" s="145"/>
      <c r="D794" s="145"/>
      <c r="E794" s="13"/>
      <c r="F794" s="13"/>
      <c r="G794" s="144"/>
      <c r="H794" s="13"/>
      <c r="I794" s="13"/>
      <c r="J794" s="13"/>
      <c r="K794" s="13"/>
      <c r="L794" s="13"/>
      <c r="M794" s="13"/>
      <c r="N794" s="146"/>
      <c r="O794" s="13"/>
      <c r="P794" s="146"/>
      <c r="R794" s="129"/>
      <c r="T794" s="13"/>
    </row>
    <row r="795" spans="1:20" ht="12.75" customHeight="1" x14ac:dyDescent="0.2">
      <c r="A795" s="134"/>
      <c r="B795" s="145"/>
      <c r="C795" s="145"/>
      <c r="D795" s="145"/>
      <c r="E795" s="13"/>
      <c r="F795" s="13"/>
      <c r="G795" s="144"/>
      <c r="H795" s="13"/>
      <c r="I795" s="13"/>
      <c r="J795" s="13"/>
      <c r="K795" s="13"/>
      <c r="L795" s="13"/>
      <c r="M795" s="13"/>
      <c r="N795" s="146"/>
      <c r="O795" s="13"/>
      <c r="P795" s="146"/>
      <c r="R795" s="129"/>
      <c r="T795" s="13"/>
    </row>
    <row r="796" spans="1:20" ht="12.75" customHeight="1" x14ac:dyDescent="0.2">
      <c r="A796" s="134"/>
      <c r="B796" s="145"/>
      <c r="C796" s="145"/>
      <c r="D796" s="145"/>
      <c r="E796" s="13"/>
      <c r="F796" s="13"/>
      <c r="G796" s="144"/>
      <c r="H796" s="13"/>
      <c r="I796" s="13"/>
      <c r="J796" s="13"/>
      <c r="K796" s="13"/>
      <c r="L796" s="13"/>
      <c r="M796" s="13"/>
      <c r="N796" s="146"/>
      <c r="O796" s="13"/>
      <c r="P796" s="146"/>
      <c r="R796" s="129"/>
      <c r="T796" s="13"/>
    </row>
    <row r="797" spans="1:20" ht="12.75" customHeight="1" x14ac:dyDescent="0.2">
      <c r="A797" s="134"/>
      <c r="B797" s="145"/>
      <c r="C797" s="145"/>
      <c r="D797" s="145"/>
      <c r="E797" s="13"/>
      <c r="F797" s="13"/>
      <c r="G797" s="144"/>
      <c r="H797" s="13"/>
      <c r="I797" s="13"/>
      <c r="J797" s="13"/>
      <c r="K797" s="13"/>
      <c r="L797" s="13"/>
      <c r="M797" s="13"/>
      <c r="N797" s="146"/>
      <c r="O797" s="13"/>
      <c r="P797" s="146"/>
      <c r="R797" s="129"/>
      <c r="T797" s="13"/>
    </row>
    <row r="798" spans="1:20" ht="12.75" customHeight="1" x14ac:dyDescent="0.2">
      <c r="A798" s="134"/>
      <c r="B798" s="145"/>
      <c r="C798" s="145"/>
      <c r="D798" s="145"/>
      <c r="E798" s="13"/>
      <c r="F798" s="13"/>
      <c r="G798" s="144"/>
      <c r="H798" s="13"/>
      <c r="I798" s="13"/>
      <c r="J798" s="13"/>
      <c r="K798" s="13"/>
      <c r="L798" s="13"/>
      <c r="M798" s="13"/>
      <c r="N798" s="146"/>
      <c r="O798" s="13"/>
      <c r="P798" s="146"/>
      <c r="R798" s="129"/>
      <c r="T798" s="13"/>
    </row>
    <row r="799" spans="1:20" ht="12.75" customHeight="1" x14ac:dyDescent="0.2">
      <c r="A799" s="134"/>
      <c r="B799" s="145"/>
      <c r="C799" s="145"/>
      <c r="D799" s="145"/>
      <c r="E799" s="13"/>
      <c r="F799" s="13"/>
      <c r="G799" s="144"/>
      <c r="H799" s="13"/>
      <c r="I799" s="13"/>
      <c r="J799" s="13"/>
      <c r="K799" s="13"/>
      <c r="L799" s="13"/>
      <c r="M799" s="13"/>
      <c r="N799" s="146"/>
      <c r="O799" s="13"/>
      <c r="P799" s="146"/>
      <c r="R799" s="129"/>
      <c r="T799" s="13"/>
    </row>
    <row r="800" spans="1:20" ht="12.75" customHeight="1" x14ac:dyDescent="0.2">
      <c r="A800" s="134"/>
      <c r="B800" s="145"/>
      <c r="C800" s="145"/>
      <c r="D800" s="145"/>
      <c r="E800" s="13"/>
      <c r="F800" s="13"/>
      <c r="G800" s="144"/>
      <c r="H800" s="13"/>
      <c r="I800" s="13"/>
      <c r="J800" s="13"/>
      <c r="K800" s="13"/>
      <c r="L800" s="13"/>
      <c r="M800" s="13"/>
      <c r="N800" s="146"/>
      <c r="O800" s="13"/>
      <c r="P800" s="146"/>
      <c r="R800" s="129"/>
      <c r="T800" s="13"/>
    </row>
    <row r="801" spans="1:20" ht="12.75" customHeight="1" x14ac:dyDescent="0.2">
      <c r="A801" s="134"/>
      <c r="B801" s="145"/>
      <c r="C801" s="145"/>
      <c r="D801" s="145"/>
      <c r="E801" s="13"/>
      <c r="F801" s="13"/>
      <c r="G801" s="144"/>
      <c r="H801" s="13"/>
      <c r="I801" s="13"/>
      <c r="J801" s="13"/>
      <c r="K801" s="13"/>
      <c r="L801" s="13"/>
      <c r="M801" s="13"/>
      <c r="N801" s="146"/>
      <c r="O801" s="13"/>
      <c r="P801" s="146"/>
      <c r="R801" s="129"/>
      <c r="T801" s="13"/>
    </row>
    <row r="802" spans="1:20" ht="12.75" customHeight="1" x14ac:dyDescent="0.2">
      <c r="A802" s="134"/>
      <c r="B802" s="145"/>
      <c r="C802" s="145"/>
      <c r="D802" s="145"/>
      <c r="E802" s="13"/>
      <c r="F802" s="13"/>
      <c r="G802" s="144"/>
      <c r="H802" s="13"/>
      <c r="I802" s="13"/>
      <c r="J802" s="13"/>
      <c r="K802" s="13"/>
      <c r="L802" s="13"/>
      <c r="M802" s="13"/>
      <c r="N802" s="146"/>
      <c r="O802" s="13"/>
      <c r="P802" s="146"/>
      <c r="R802" s="129"/>
      <c r="T802" s="13"/>
    </row>
    <row r="803" spans="1:20" ht="12.75" customHeight="1" x14ac:dyDescent="0.2">
      <c r="A803" s="134"/>
      <c r="B803" s="145"/>
      <c r="C803" s="145"/>
      <c r="D803" s="145"/>
      <c r="E803" s="13"/>
      <c r="F803" s="13"/>
      <c r="G803" s="144"/>
      <c r="H803" s="13"/>
      <c r="I803" s="13"/>
      <c r="J803" s="13"/>
      <c r="K803" s="13"/>
      <c r="L803" s="13"/>
      <c r="M803" s="13"/>
      <c r="N803" s="146"/>
      <c r="O803" s="13"/>
      <c r="P803" s="146"/>
      <c r="R803" s="129"/>
      <c r="T803" s="13"/>
    </row>
    <row r="804" spans="1:20" ht="12.75" customHeight="1" x14ac:dyDescent="0.2">
      <c r="A804" s="134"/>
      <c r="B804" s="145"/>
      <c r="C804" s="145"/>
      <c r="D804" s="145"/>
      <c r="E804" s="13"/>
      <c r="F804" s="13"/>
      <c r="G804" s="144"/>
      <c r="H804" s="13"/>
      <c r="I804" s="13"/>
      <c r="J804" s="13"/>
      <c r="K804" s="13"/>
      <c r="L804" s="13"/>
      <c r="M804" s="13"/>
      <c r="N804" s="146"/>
      <c r="O804" s="13"/>
      <c r="P804" s="146"/>
      <c r="R804" s="129"/>
      <c r="T804" s="13"/>
    </row>
    <row r="805" spans="1:20" ht="12.75" customHeight="1" x14ac:dyDescent="0.2">
      <c r="A805" s="134"/>
      <c r="B805" s="145"/>
      <c r="C805" s="145"/>
      <c r="D805" s="145"/>
      <c r="E805" s="13"/>
      <c r="F805" s="13"/>
      <c r="G805" s="144"/>
      <c r="H805" s="13"/>
      <c r="I805" s="13"/>
      <c r="J805" s="13"/>
      <c r="K805" s="13"/>
      <c r="L805" s="13"/>
      <c r="M805" s="13"/>
      <c r="N805" s="146"/>
      <c r="O805" s="13"/>
      <c r="P805" s="146"/>
      <c r="R805" s="129"/>
      <c r="T805" s="13"/>
    </row>
    <row r="806" spans="1:20" ht="12.75" customHeight="1" x14ac:dyDescent="0.2">
      <c r="A806" s="134"/>
      <c r="B806" s="145"/>
      <c r="C806" s="145"/>
      <c r="D806" s="145"/>
      <c r="E806" s="13"/>
      <c r="F806" s="13"/>
      <c r="G806" s="144"/>
      <c r="H806" s="13"/>
      <c r="I806" s="13"/>
      <c r="J806" s="13"/>
      <c r="K806" s="13"/>
      <c r="L806" s="13"/>
      <c r="M806" s="13"/>
      <c r="N806" s="146"/>
      <c r="O806" s="13"/>
      <c r="P806" s="146"/>
      <c r="R806" s="129"/>
      <c r="T806" s="13"/>
    </row>
    <row r="807" spans="1:20" ht="12.75" customHeight="1" x14ac:dyDescent="0.2">
      <c r="A807" s="134"/>
      <c r="B807" s="145"/>
      <c r="C807" s="145"/>
      <c r="D807" s="145"/>
      <c r="E807" s="13"/>
      <c r="F807" s="13"/>
      <c r="G807" s="144"/>
      <c r="H807" s="13"/>
      <c r="I807" s="13"/>
      <c r="J807" s="13"/>
      <c r="K807" s="13"/>
      <c r="L807" s="13"/>
      <c r="M807" s="13"/>
      <c r="N807" s="146"/>
      <c r="O807" s="13"/>
      <c r="P807" s="146"/>
      <c r="R807" s="129"/>
      <c r="T807" s="13"/>
    </row>
    <row r="808" spans="1:20" ht="12.75" customHeight="1" x14ac:dyDescent="0.2">
      <c r="A808" s="134"/>
      <c r="B808" s="145"/>
      <c r="C808" s="145"/>
      <c r="D808" s="145"/>
      <c r="E808" s="13"/>
      <c r="F808" s="13"/>
      <c r="G808" s="144"/>
      <c r="H808" s="13"/>
      <c r="I808" s="13"/>
      <c r="J808" s="13"/>
      <c r="K808" s="13"/>
      <c r="L808" s="13"/>
      <c r="M808" s="13"/>
      <c r="N808" s="146"/>
      <c r="O808" s="13"/>
      <c r="P808" s="146"/>
      <c r="R808" s="129"/>
      <c r="T808" s="13"/>
    </row>
    <row r="809" spans="1:20" ht="12.75" customHeight="1" x14ac:dyDescent="0.2">
      <c r="A809" s="134"/>
      <c r="B809" s="145"/>
      <c r="C809" s="145"/>
      <c r="D809" s="145"/>
      <c r="E809" s="13"/>
      <c r="F809" s="13"/>
      <c r="G809" s="144"/>
      <c r="H809" s="13"/>
      <c r="I809" s="13"/>
      <c r="J809" s="13"/>
      <c r="K809" s="13"/>
      <c r="L809" s="13"/>
      <c r="M809" s="13"/>
      <c r="N809" s="146"/>
      <c r="O809" s="13"/>
      <c r="P809" s="146"/>
      <c r="R809" s="129"/>
      <c r="T809" s="13"/>
    </row>
    <row r="810" spans="1:20" ht="12.75" customHeight="1" x14ac:dyDescent="0.2">
      <c r="A810" s="134"/>
      <c r="B810" s="145"/>
      <c r="C810" s="145"/>
      <c r="D810" s="145"/>
      <c r="E810" s="13"/>
      <c r="F810" s="13"/>
      <c r="G810" s="144"/>
      <c r="H810" s="13"/>
      <c r="I810" s="13"/>
      <c r="J810" s="13"/>
      <c r="K810" s="13"/>
      <c r="L810" s="13"/>
      <c r="M810" s="13"/>
      <c r="N810" s="146"/>
      <c r="O810" s="13"/>
      <c r="P810" s="146"/>
      <c r="R810" s="129"/>
      <c r="T810" s="13"/>
    </row>
    <row r="811" spans="1:20" ht="12.75" customHeight="1" x14ac:dyDescent="0.2">
      <c r="A811" s="134"/>
      <c r="B811" s="145"/>
      <c r="C811" s="145"/>
      <c r="D811" s="145"/>
      <c r="E811" s="13"/>
      <c r="F811" s="13"/>
      <c r="G811" s="144"/>
      <c r="H811" s="13"/>
      <c r="I811" s="13"/>
      <c r="J811" s="13"/>
      <c r="K811" s="13"/>
      <c r="L811" s="13"/>
      <c r="M811" s="13"/>
      <c r="N811" s="146"/>
      <c r="O811" s="13"/>
      <c r="P811" s="146"/>
      <c r="R811" s="129"/>
      <c r="T811" s="13"/>
    </row>
    <row r="812" spans="1:20" ht="12.75" customHeight="1" x14ac:dyDescent="0.2">
      <c r="A812" s="134"/>
      <c r="B812" s="145"/>
      <c r="C812" s="145"/>
      <c r="D812" s="145"/>
      <c r="E812" s="13"/>
      <c r="F812" s="13"/>
      <c r="G812" s="144"/>
      <c r="H812" s="13"/>
      <c r="I812" s="13"/>
      <c r="J812" s="13"/>
      <c r="K812" s="13"/>
      <c r="L812" s="13"/>
      <c r="M812" s="13"/>
      <c r="N812" s="146"/>
      <c r="O812" s="13"/>
      <c r="P812" s="146"/>
      <c r="R812" s="129"/>
      <c r="T812" s="13"/>
    </row>
    <row r="813" spans="1:20" ht="12.75" customHeight="1" x14ac:dyDescent="0.2">
      <c r="A813" s="134"/>
      <c r="B813" s="145"/>
      <c r="C813" s="145"/>
      <c r="D813" s="145"/>
      <c r="E813" s="13"/>
      <c r="F813" s="13"/>
      <c r="G813" s="144"/>
      <c r="H813" s="13"/>
      <c r="I813" s="13"/>
      <c r="J813" s="13"/>
      <c r="K813" s="13"/>
      <c r="L813" s="13"/>
      <c r="M813" s="13"/>
      <c r="N813" s="146"/>
      <c r="O813" s="13"/>
      <c r="P813" s="146"/>
      <c r="R813" s="129"/>
      <c r="T813" s="13"/>
    </row>
    <row r="814" spans="1:20" ht="12.75" customHeight="1" x14ac:dyDescent="0.2">
      <c r="A814" s="134"/>
      <c r="B814" s="145"/>
      <c r="C814" s="145"/>
      <c r="D814" s="145"/>
      <c r="E814" s="13"/>
      <c r="F814" s="13"/>
      <c r="G814" s="144"/>
      <c r="H814" s="13"/>
      <c r="I814" s="13"/>
      <c r="J814" s="13"/>
      <c r="K814" s="13"/>
      <c r="L814" s="13"/>
      <c r="M814" s="13"/>
      <c r="N814" s="146"/>
      <c r="O814" s="13"/>
      <c r="P814" s="146"/>
      <c r="R814" s="129"/>
      <c r="T814" s="13"/>
    </row>
    <row r="815" spans="1:20" ht="12.75" customHeight="1" x14ac:dyDescent="0.2">
      <c r="A815" s="134"/>
      <c r="B815" s="145"/>
      <c r="C815" s="145"/>
      <c r="D815" s="145"/>
      <c r="E815" s="13"/>
      <c r="F815" s="13"/>
      <c r="G815" s="144"/>
      <c r="H815" s="13"/>
      <c r="I815" s="13"/>
      <c r="J815" s="13"/>
      <c r="K815" s="13"/>
      <c r="L815" s="13"/>
      <c r="M815" s="13"/>
      <c r="N815" s="146"/>
      <c r="O815" s="13"/>
      <c r="P815" s="146"/>
      <c r="R815" s="129"/>
      <c r="T815" s="13"/>
    </row>
    <row r="816" spans="1:20" ht="12.75" customHeight="1" x14ac:dyDescent="0.2">
      <c r="A816" s="134"/>
      <c r="B816" s="145"/>
      <c r="C816" s="145"/>
      <c r="D816" s="145"/>
      <c r="E816" s="13"/>
      <c r="F816" s="13"/>
      <c r="G816" s="144"/>
      <c r="H816" s="13"/>
      <c r="I816" s="13"/>
      <c r="J816" s="13"/>
      <c r="K816" s="13"/>
      <c r="L816" s="13"/>
      <c r="M816" s="13"/>
      <c r="N816" s="146"/>
      <c r="O816" s="13"/>
      <c r="P816" s="146"/>
      <c r="R816" s="129"/>
      <c r="T816" s="13"/>
    </row>
    <row r="817" spans="1:20" ht="12.75" customHeight="1" x14ac:dyDescent="0.2">
      <c r="A817" s="134"/>
      <c r="B817" s="145"/>
      <c r="C817" s="145"/>
      <c r="D817" s="145"/>
      <c r="E817" s="13"/>
      <c r="F817" s="13"/>
      <c r="G817" s="144"/>
      <c r="H817" s="13"/>
      <c r="I817" s="13"/>
      <c r="J817" s="13"/>
      <c r="K817" s="13"/>
      <c r="L817" s="13"/>
      <c r="M817" s="13"/>
      <c r="N817" s="146"/>
      <c r="O817" s="13"/>
      <c r="P817" s="146"/>
      <c r="R817" s="129"/>
      <c r="T817" s="13"/>
    </row>
    <row r="818" spans="1:20" ht="12.75" customHeight="1" x14ac:dyDescent="0.2">
      <c r="A818" s="134"/>
      <c r="B818" s="145"/>
      <c r="C818" s="145"/>
      <c r="D818" s="145"/>
      <c r="E818" s="13"/>
      <c r="F818" s="13"/>
      <c r="G818" s="144"/>
      <c r="H818" s="13"/>
      <c r="I818" s="13"/>
      <c r="J818" s="13"/>
      <c r="K818" s="13"/>
      <c r="L818" s="13"/>
      <c r="M818" s="13"/>
      <c r="N818" s="146"/>
      <c r="O818" s="13"/>
      <c r="P818" s="146"/>
      <c r="R818" s="129"/>
      <c r="T818" s="13"/>
    </row>
    <row r="819" spans="1:20" ht="12.75" customHeight="1" x14ac:dyDescent="0.2">
      <c r="A819" s="134"/>
      <c r="B819" s="145"/>
      <c r="C819" s="145"/>
      <c r="D819" s="145"/>
      <c r="E819" s="13"/>
      <c r="F819" s="13"/>
      <c r="G819" s="144"/>
      <c r="H819" s="13"/>
      <c r="I819" s="13"/>
      <c r="J819" s="13"/>
      <c r="K819" s="13"/>
      <c r="L819" s="13"/>
      <c r="M819" s="13"/>
      <c r="N819" s="146"/>
      <c r="O819" s="13"/>
      <c r="P819" s="146"/>
      <c r="R819" s="129"/>
      <c r="T819" s="13"/>
    </row>
    <row r="820" spans="1:20" ht="12.75" customHeight="1" x14ac:dyDescent="0.2">
      <c r="A820" s="134"/>
      <c r="B820" s="145"/>
      <c r="C820" s="145"/>
      <c r="D820" s="145"/>
      <c r="E820" s="13"/>
      <c r="F820" s="13"/>
      <c r="G820" s="144"/>
      <c r="H820" s="13"/>
      <c r="I820" s="13"/>
      <c r="J820" s="13"/>
      <c r="K820" s="13"/>
      <c r="L820" s="13"/>
      <c r="M820" s="13"/>
      <c r="N820" s="146"/>
      <c r="O820" s="13"/>
      <c r="P820" s="146"/>
      <c r="R820" s="129"/>
      <c r="T820" s="13"/>
    </row>
    <row r="821" spans="1:20" ht="12.75" customHeight="1" x14ac:dyDescent="0.2">
      <c r="A821" s="134"/>
      <c r="B821" s="145"/>
      <c r="C821" s="145"/>
      <c r="D821" s="145"/>
      <c r="E821" s="13"/>
      <c r="F821" s="13"/>
      <c r="G821" s="144"/>
      <c r="H821" s="13"/>
      <c r="I821" s="13"/>
      <c r="J821" s="13"/>
      <c r="K821" s="13"/>
      <c r="L821" s="13"/>
      <c r="M821" s="13"/>
      <c r="N821" s="146"/>
      <c r="O821" s="13"/>
      <c r="P821" s="146"/>
      <c r="R821" s="129"/>
      <c r="T821" s="13"/>
    </row>
    <row r="822" spans="1:20" ht="12.75" customHeight="1" x14ac:dyDescent="0.2">
      <c r="A822" s="134"/>
      <c r="B822" s="145"/>
      <c r="C822" s="145"/>
      <c r="D822" s="145"/>
      <c r="E822" s="13"/>
      <c r="F822" s="13"/>
      <c r="G822" s="144"/>
      <c r="H822" s="13"/>
      <c r="I822" s="13"/>
      <c r="J822" s="13"/>
      <c r="K822" s="13"/>
      <c r="L822" s="13"/>
      <c r="M822" s="13"/>
      <c r="N822" s="146"/>
      <c r="O822" s="13"/>
      <c r="P822" s="146"/>
      <c r="R822" s="129"/>
      <c r="T822" s="13"/>
    </row>
    <row r="823" spans="1:20" ht="12.75" customHeight="1" x14ac:dyDescent="0.2">
      <c r="A823" s="134"/>
      <c r="B823" s="145"/>
      <c r="C823" s="145"/>
      <c r="D823" s="145"/>
      <c r="E823" s="13"/>
      <c r="F823" s="13"/>
      <c r="G823" s="144"/>
      <c r="H823" s="13"/>
      <c r="I823" s="13"/>
      <c r="J823" s="13"/>
      <c r="K823" s="13"/>
      <c r="L823" s="13"/>
      <c r="M823" s="13"/>
      <c r="N823" s="146"/>
      <c r="O823" s="13"/>
      <c r="P823" s="146"/>
      <c r="R823" s="129"/>
      <c r="T823" s="13"/>
    </row>
    <row r="824" spans="1:20" ht="12.75" customHeight="1" x14ac:dyDescent="0.2">
      <c r="A824" s="134"/>
      <c r="B824" s="145"/>
      <c r="C824" s="145"/>
      <c r="D824" s="145"/>
      <c r="E824" s="13"/>
      <c r="F824" s="13"/>
      <c r="G824" s="144"/>
      <c r="H824" s="13"/>
      <c r="I824" s="13"/>
      <c r="J824" s="13"/>
      <c r="K824" s="13"/>
      <c r="L824" s="13"/>
      <c r="M824" s="13"/>
      <c r="N824" s="146"/>
      <c r="O824" s="13"/>
      <c r="P824" s="146"/>
      <c r="R824" s="129"/>
      <c r="T824" s="13"/>
    </row>
    <row r="825" spans="1:20" ht="12.75" customHeight="1" x14ac:dyDescent="0.2">
      <c r="A825" s="134"/>
      <c r="B825" s="145"/>
      <c r="C825" s="145"/>
      <c r="D825" s="145"/>
      <c r="E825" s="13"/>
      <c r="F825" s="13"/>
      <c r="G825" s="144"/>
      <c r="H825" s="13"/>
      <c r="I825" s="13"/>
      <c r="J825" s="13"/>
      <c r="K825" s="13"/>
      <c r="L825" s="13"/>
      <c r="M825" s="13"/>
      <c r="N825" s="146"/>
      <c r="O825" s="13"/>
      <c r="P825" s="146"/>
      <c r="R825" s="129"/>
      <c r="T825" s="13"/>
    </row>
    <row r="826" spans="1:20" ht="12.75" customHeight="1" x14ac:dyDescent="0.2">
      <c r="A826" s="134"/>
      <c r="B826" s="145"/>
      <c r="C826" s="145"/>
      <c r="D826" s="145"/>
      <c r="E826" s="13"/>
      <c r="F826" s="13"/>
      <c r="G826" s="144"/>
      <c r="H826" s="13"/>
      <c r="I826" s="13"/>
      <c r="J826" s="13"/>
      <c r="K826" s="13"/>
      <c r="L826" s="13"/>
      <c r="M826" s="13"/>
      <c r="N826" s="146"/>
      <c r="O826" s="13"/>
      <c r="P826" s="146"/>
      <c r="R826" s="129"/>
      <c r="T826" s="13"/>
    </row>
    <row r="827" spans="1:20" ht="12.75" customHeight="1" x14ac:dyDescent="0.2">
      <c r="A827" s="134"/>
      <c r="B827" s="145"/>
      <c r="C827" s="145"/>
      <c r="D827" s="145"/>
      <c r="E827" s="13"/>
      <c r="F827" s="13"/>
      <c r="G827" s="144"/>
      <c r="H827" s="13"/>
      <c r="I827" s="13"/>
      <c r="J827" s="13"/>
      <c r="K827" s="13"/>
      <c r="L827" s="13"/>
      <c r="M827" s="13"/>
      <c r="N827" s="146"/>
      <c r="O827" s="13"/>
      <c r="P827" s="146"/>
      <c r="R827" s="129"/>
      <c r="T827" s="13"/>
    </row>
    <row r="828" spans="1:20" ht="12.75" customHeight="1" x14ac:dyDescent="0.2">
      <c r="A828" s="134"/>
      <c r="B828" s="145"/>
      <c r="C828" s="145"/>
      <c r="D828" s="145"/>
      <c r="E828" s="13"/>
      <c r="F828" s="13"/>
      <c r="G828" s="144"/>
      <c r="H828" s="13"/>
      <c r="I828" s="13"/>
      <c r="J828" s="13"/>
      <c r="K828" s="13"/>
      <c r="L828" s="13"/>
      <c r="M828" s="13"/>
      <c r="N828" s="146"/>
      <c r="O828" s="13"/>
      <c r="P828" s="146"/>
      <c r="R828" s="129"/>
      <c r="T828" s="13"/>
    </row>
    <row r="829" spans="1:20" ht="12.75" customHeight="1" x14ac:dyDescent="0.2">
      <c r="A829" s="134"/>
      <c r="B829" s="145"/>
      <c r="C829" s="145"/>
      <c r="D829" s="145"/>
      <c r="E829" s="13"/>
      <c r="F829" s="13"/>
      <c r="G829" s="144"/>
      <c r="H829" s="13"/>
      <c r="I829" s="13"/>
      <c r="J829" s="13"/>
      <c r="K829" s="13"/>
      <c r="L829" s="13"/>
      <c r="M829" s="13"/>
      <c r="N829" s="146"/>
      <c r="O829" s="13"/>
      <c r="P829" s="146"/>
      <c r="R829" s="129"/>
      <c r="T829" s="13"/>
    </row>
    <row r="830" spans="1:20" ht="12.75" customHeight="1" x14ac:dyDescent="0.2">
      <c r="A830" s="134"/>
      <c r="B830" s="145"/>
      <c r="C830" s="145"/>
      <c r="D830" s="145"/>
      <c r="E830" s="13"/>
      <c r="F830" s="13"/>
      <c r="G830" s="144"/>
      <c r="H830" s="13"/>
      <c r="I830" s="13"/>
      <c r="J830" s="13"/>
      <c r="K830" s="13"/>
      <c r="L830" s="13"/>
      <c r="M830" s="13"/>
      <c r="N830" s="146"/>
      <c r="O830" s="13"/>
      <c r="P830" s="146"/>
      <c r="R830" s="129"/>
      <c r="T830" s="13"/>
    </row>
    <row r="831" spans="1:20" ht="12.75" customHeight="1" x14ac:dyDescent="0.2">
      <c r="A831" s="134"/>
      <c r="B831" s="145"/>
      <c r="C831" s="145"/>
      <c r="D831" s="145"/>
      <c r="E831" s="13"/>
      <c r="F831" s="13"/>
      <c r="G831" s="144"/>
      <c r="H831" s="13"/>
      <c r="I831" s="13"/>
      <c r="J831" s="13"/>
      <c r="K831" s="13"/>
      <c r="L831" s="13"/>
      <c r="M831" s="13"/>
      <c r="N831" s="146"/>
      <c r="O831" s="13"/>
      <c r="P831" s="146"/>
      <c r="R831" s="129"/>
      <c r="T831" s="13"/>
    </row>
    <row r="832" spans="1:20" ht="12.75" customHeight="1" x14ac:dyDescent="0.2">
      <c r="A832" s="134"/>
      <c r="B832" s="145"/>
      <c r="C832" s="145"/>
      <c r="D832" s="145"/>
      <c r="E832" s="13"/>
      <c r="F832" s="13"/>
      <c r="G832" s="144"/>
      <c r="H832" s="13"/>
      <c r="I832" s="13"/>
      <c r="J832" s="13"/>
      <c r="K832" s="13"/>
      <c r="L832" s="13"/>
      <c r="M832" s="13"/>
      <c r="N832" s="146"/>
      <c r="O832" s="13"/>
      <c r="P832" s="146"/>
      <c r="R832" s="129"/>
      <c r="T832" s="13"/>
    </row>
    <row r="833" spans="1:20" ht="12.75" customHeight="1" x14ac:dyDescent="0.2">
      <c r="A833" s="134"/>
      <c r="B833" s="145"/>
      <c r="C833" s="145"/>
      <c r="D833" s="145"/>
      <c r="E833" s="13"/>
      <c r="F833" s="13"/>
      <c r="G833" s="144"/>
      <c r="H833" s="13"/>
      <c r="I833" s="13"/>
      <c r="J833" s="13"/>
      <c r="K833" s="13"/>
      <c r="L833" s="13"/>
      <c r="M833" s="13"/>
      <c r="N833" s="146"/>
      <c r="O833" s="13"/>
      <c r="P833" s="146"/>
      <c r="R833" s="129"/>
      <c r="T833" s="13"/>
    </row>
    <row r="834" spans="1:20" ht="12.75" customHeight="1" x14ac:dyDescent="0.2">
      <c r="A834" s="134"/>
      <c r="B834" s="145"/>
      <c r="C834" s="145"/>
      <c r="D834" s="145"/>
      <c r="E834" s="13"/>
      <c r="F834" s="13"/>
      <c r="G834" s="144"/>
      <c r="H834" s="13"/>
      <c r="I834" s="13"/>
      <c r="J834" s="13"/>
      <c r="K834" s="13"/>
      <c r="L834" s="13"/>
      <c r="M834" s="13"/>
      <c r="N834" s="146"/>
      <c r="O834" s="13"/>
      <c r="P834" s="146"/>
      <c r="R834" s="129"/>
      <c r="T834" s="13"/>
    </row>
    <row r="835" spans="1:20" ht="12.75" customHeight="1" x14ac:dyDescent="0.2">
      <c r="A835" s="134"/>
      <c r="B835" s="145"/>
      <c r="C835" s="145"/>
      <c r="D835" s="145"/>
      <c r="E835" s="13"/>
      <c r="F835" s="13"/>
      <c r="G835" s="144"/>
      <c r="H835" s="13"/>
      <c r="I835" s="13"/>
      <c r="J835" s="13"/>
      <c r="K835" s="13"/>
      <c r="L835" s="13"/>
      <c r="M835" s="13"/>
      <c r="N835" s="146"/>
      <c r="O835" s="13"/>
      <c r="P835" s="146"/>
      <c r="R835" s="129"/>
      <c r="T835" s="13"/>
    </row>
    <row r="836" spans="1:20" ht="12.75" customHeight="1" x14ac:dyDescent="0.2">
      <c r="A836" s="134"/>
      <c r="B836" s="145"/>
      <c r="C836" s="145"/>
      <c r="D836" s="145"/>
      <c r="E836" s="13"/>
      <c r="F836" s="13"/>
      <c r="G836" s="144"/>
      <c r="H836" s="13"/>
      <c r="I836" s="13"/>
      <c r="J836" s="13"/>
      <c r="K836" s="13"/>
      <c r="L836" s="13"/>
      <c r="M836" s="13"/>
      <c r="N836" s="146"/>
      <c r="O836" s="13"/>
      <c r="P836" s="146"/>
      <c r="R836" s="129"/>
      <c r="T836" s="13"/>
    </row>
    <row r="837" spans="1:20" ht="12.75" customHeight="1" x14ac:dyDescent="0.2">
      <c r="A837" s="134"/>
      <c r="B837" s="145"/>
      <c r="C837" s="145"/>
      <c r="D837" s="145"/>
      <c r="E837" s="13"/>
      <c r="F837" s="13"/>
      <c r="G837" s="144"/>
      <c r="H837" s="13"/>
      <c r="I837" s="13"/>
      <c r="J837" s="13"/>
      <c r="K837" s="13"/>
      <c r="L837" s="13"/>
      <c r="M837" s="13"/>
      <c r="N837" s="146"/>
      <c r="O837" s="13"/>
      <c r="P837" s="146"/>
      <c r="R837" s="129"/>
      <c r="T837" s="13"/>
    </row>
    <row r="838" spans="1:20" ht="12.75" customHeight="1" x14ac:dyDescent="0.2">
      <c r="A838" s="134"/>
      <c r="B838" s="145"/>
      <c r="C838" s="145"/>
      <c r="D838" s="145"/>
      <c r="E838" s="13"/>
      <c r="F838" s="13"/>
      <c r="G838" s="144"/>
      <c r="H838" s="13"/>
      <c r="I838" s="13"/>
      <c r="J838" s="13"/>
      <c r="K838" s="13"/>
      <c r="L838" s="13"/>
      <c r="M838" s="13"/>
      <c r="N838" s="146"/>
      <c r="O838" s="13"/>
      <c r="P838" s="146"/>
      <c r="R838" s="129"/>
      <c r="T838" s="13"/>
    </row>
    <row r="839" spans="1:20" ht="12.75" customHeight="1" x14ac:dyDescent="0.2">
      <c r="A839" s="134"/>
      <c r="B839" s="145"/>
      <c r="C839" s="145"/>
      <c r="D839" s="145"/>
      <c r="E839" s="13"/>
      <c r="F839" s="13"/>
      <c r="G839" s="144"/>
      <c r="H839" s="13"/>
      <c r="I839" s="13"/>
      <c r="J839" s="13"/>
      <c r="K839" s="13"/>
      <c r="L839" s="13"/>
      <c r="M839" s="13"/>
      <c r="N839" s="146"/>
      <c r="O839" s="13"/>
      <c r="P839" s="146"/>
      <c r="R839" s="129"/>
      <c r="T839" s="13"/>
    </row>
    <row r="840" spans="1:20" ht="12.75" customHeight="1" x14ac:dyDescent="0.2">
      <c r="A840" s="134"/>
      <c r="B840" s="145"/>
      <c r="C840" s="145"/>
      <c r="D840" s="145"/>
      <c r="E840" s="13"/>
      <c r="F840" s="13"/>
      <c r="G840" s="144"/>
      <c r="H840" s="13"/>
      <c r="I840" s="13"/>
      <c r="J840" s="13"/>
      <c r="K840" s="13"/>
      <c r="L840" s="13"/>
      <c r="M840" s="13"/>
      <c r="N840" s="146"/>
      <c r="O840" s="13"/>
      <c r="P840" s="146"/>
      <c r="R840" s="129"/>
      <c r="T840" s="13"/>
    </row>
    <row r="841" spans="1:20" ht="12.75" customHeight="1" x14ac:dyDescent="0.2">
      <c r="A841" s="134"/>
      <c r="B841" s="145"/>
      <c r="C841" s="145"/>
      <c r="D841" s="145"/>
      <c r="E841" s="13"/>
      <c r="F841" s="13"/>
      <c r="G841" s="144"/>
      <c r="H841" s="13"/>
      <c r="I841" s="13"/>
      <c r="J841" s="13"/>
      <c r="K841" s="13"/>
      <c r="L841" s="13"/>
      <c r="M841" s="13"/>
      <c r="N841" s="146"/>
      <c r="O841" s="13"/>
      <c r="P841" s="146"/>
      <c r="R841" s="129"/>
      <c r="T841" s="13"/>
    </row>
    <row r="842" spans="1:20" ht="12.75" customHeight="1" x14ac:dyDescent="0.2">
      <c r="A842" s="134"/>
      <c r="B842" s="145"/>
      <c r="C842" s="145"/>
      <c r="D842" s="145"/>
      <c r="E842" s="13"/>
      <c r="F842" s="13"/>
      <c r="G842" s="144"/>
      <c r="H842" s="13"/>
      <c r="I842" s="13"/>
      <c r="J842" s="13"/>
      <c r="K842" s="13"/>
      <c r="L842" s="13"/>
      <c r="M842" s="13"/>
      <c r="N842" s="146"/>
      <c r="O842" s="13"/>
      <c r="P842" s="146"/>
      <c r="R842" s="129"/>
      <c r="T842" s="13"/>
    </row>
    <row r="843" spans="1:20" ht="12.75" customHeight="1" x14ac:dyDescent="0.2">
      <c r="A843" s="134"/>
      <c r="B843" s="145"/>
      <c r="C843" s="145"/>
      <c r="D843" s="145"/>
      <c r="E843" s="13"/>
      <c r="F843" s="13"/>
      <c r="G843" s="144"/>
      <c r="H843" s="13"/>
      <c r="I843" s="13"/>
      <c r="J843" s="13"/>
      <c r="K843" s="13"/>
      <c r="L843" s="13"/>
      <c r="M843" s="13"/>
      <c r="N843" s="146"/>
      <c r="O843" s="13"/>
      <c r="P843" s="146"/>
      <c r="R843" s="129"/>
      <c r="T843" s="13"/>
    </row>
    <row r="844" spans="1:20" ht="12.75" customHeight="1" x14ac:dyDescent="0.2">
      <c r="A844" s="134"/>
      <c r="B844" s="145"/>
      <c r="C844" s="145"/>
      <c r="D844" s="145"/>
      <c r="E844" s="13"/>
      <c r="F844" s="13"/>
      <c r="G844" s="144"/>
      <c r="H844" s="13"/>
      <c r="I844" s="13"/>
      <c r="J844" s="13"/>
      <c r="K844" s="13"/>
      <c r="L844" s="13"/>
      <c r="M844" s="13"/>
      <c r="N844" s="146"/>
      <c r="O844" s="13"/>
      <c r="P844" s="146"/>
      <c r="R844" s="129"/>
      <c r="T844" s="13"/>
    </row>
    <row r="845" spans="1:20" ht="12.75" customHeight="1" x14ac:dyDescent="0.2">
      <c r="A845" s="134"/>
      <c r="B845" s="145"/>
      <c r="C845" s="145"/>
      <c r="D845" s="145"/>
      <c r="E845" s="13"/>
      <c r="F845" s="13"/>
      <c r="G845" s="144"/>
      <c r="H845" s="13"/>
      <c r="I845" s="13"/>
      <c r="J845" s="13"/>
      <c r="K845" s="13"/>
      <c r="L845" s="13"/>
      <c r="M845" s="13"/>
      <c r="N845" s="146"/>
      <c r="O845" s="13"/>
      <c r="P845" s="146"/>
      <c r="R845" s="129"/>
      <c r="T845" s="13"/>
    </row>
    <row r="846" spans="1:20" ht="12.75" customHeight="1" x14ac:dyDescent="0.2">
      <c r="A846" s="134"/>
      <c r="B846" s="145"/>
      <c r="C846" s="145"/>
      <c r="D846" s="145"/>
      <c r="E846" s="13"/>
      <c r="F846" s="13"/>
      <c r="G846" s="144"/>
      <c r="H846" s="13"/>
      <c r="I846" s="13"/>
      <c r="J846" s="13"/>
      <c r="K846" s="13"/>
      <c r="L846" s="13"/>
      <c r="M846" s="13"/>
      <c r="N846" s="146"/>
      <c r="O846" s="13"/>
      <c r="P846" s="146"/>
      <c r="R846" s="129"/>
      <c r="T846" s="13"/>
    </row>
    <row r="847" spans="1:20" ht="12.75" customHeight="1" x14ac:dyDescent="0.2">
      <c r="A847" s="134"/>
      <c r="B847" s="145"/>
      <c r="C847" s="145"/>
      <c r="D847" s="145"/>
      <c r="E847" s="13"/>
      <c r="F847" s="13"/>
      <c r="G847" s="144"/>
      <c r="H847" s="13"/>
      <c r="I847" s="13"/>
      <c r="J847" s="13"/>
      <c r="K847" s="13"/>
      <c r="L847" s="13"/>
      <c r="M847" s="13"/>
      <c r="N847" s="146"/>
      <c r="O847" s="13"/>
      <c r="P847" s="146"/>
      <c r="R847" s="129"/>
      <c r="T847" s="13"/>
    </row>
    <row r="848" spans="1:20" ht="12.75" customHeight="1" x14ac:dyDescent="0.2">
      <c r="A848" s="134"/>
      <c r="B848" s="145"/>
      <c r="C848" s="145"/>
      <c r="D848" s="145"/>
      <c r="E848" s="13"/>
      <c r="F848" s="13"/>
      <c r="G848" s="144"/>
      <c r="H848" s="13"/>
      <c r="I848" s="13"/>
      <c r="J848" s="13"/>
      <c r="K848" s="13"/>
      <c r="L848" s="13"/>
      <c r="M848" s="13"/>
      <c r="N848" s="146"/>
      <c r="O848" s="13"/>
      <c r="P848" s="146"/>
      <c r="R848" s="129"/>
      <c r="T848" s="13"/>
    </row>
    <row r="849" spans="1:20" ht="12.75" customHeight="1" x14ac:dyDescent="0.2">
      <c r="A849" s="134"/>
      <c r="B849" s="145"/>
      <c r="C849" s="145"/>
      <c r="D849" s="145"/>
      <c r="E849" s="13"/>
      <c r="F849" s="13"/>
      <c r="G849" s="144"/>
      <c r="H849" s="13"/>
      <c r="I849" s="13"/>
      <c r="J849" s="13"/>
      <c r="K849" s="13"/>
      <c r="L849" s="13"/>
      <c r="M849" s="13"/>
      <c r="N849" s="146"/>
      <c r="O849" s="13"/>
      <c r="P849" s="146"/>
      <c r="R849" s="129"/>
      <c r="T849" s="13"/>
    </row>
    <row r="850" spans="1:20" ht="12.75" customHeight="1" x14ac:dyDescent="0.2">
      <c r="A850" s="134"/>
      <c r="B850" s="145"/>
      <c r="C850" s="145"/>
      <c r="D850" s="145"/>
      <c r="E850" s="13"/>
      <c r="F850" s="13"/>
      <c r="G850" s="144"/>
      <c r="H850" s="13"/>
      <c r="I850" s="13"/>
      <c r="J850" s="13"/>
      <c r="K850" s="13"/>
      <c r="L850" s="13"/>
      <c r="M850" s="13"/>
      <c r="N850" s="146"/>
      <c r="O850" s="13"/>
      <c r="P850" s="146"/>
      <c r="R850" s="129"/>
      <c r="T850" s="13"/>
    </row>
    <row r="851" spans="1:20" ht="12.75" customHeight="1" x14ac:dyDescent="0.2">
      <c r="A851" s="134"/>
      <c r="B851" s="145"/>
      <c r="C851" s="145"/>
      <c r="D851" s="145"/>
      <c r="E851" s="13"/>
      <c r="F851" s="13"/>
      <c r="G851" s="144"/>
      <c r="H851" s="13"/>
      <c r="I851" s="13"/>
      <c r="J851" s="13"/>
      <c r="K851" s="13"/>
      <c r="L851" s="13"/>
      <c r="M851" s="13"/>
      <c r="N851" s="146"/>
      <c r="O851" s="13"/>
      <c r="P851" s="146"/>
      <c r="R851" s="129"/>
      <c r="T851" s="13"/>
    </row>
    <row r="852" spans="1:20" ht="12.75" customHeight="1" x14ac:dyDescent="0.2">
      <c r="A852" s="134"/>
      <c r="B852" s="145"/>
      <c r="C852" s="145"/>
      <c r="D852" s="145"/>
      <c r="E852" s="13"/>
      <c r="F852" s="13"/>
      <c r="G852" s="144"/>
      <c r="H852" s="13"/>
      <c r="I852" s="13"/>
      <c r="J852" s="13"/>
      <c r="K852" s="13"/>
      <c r="L852" s="13"/>
      <c r="M852" s="13"/>
      <c r="N852" s="146"/>
      <c r="O852" s="13"/>
      <c r="P852" s="146"/>
      <c r="R852" s="129"/>
      <c r="T852" s="13"/>
    </row>
    <row r="853" spans="1:20" ht="12.75" customHeight="1" x14ac:dyDescent="0.2">
      <c r="A853" s="134"/>
      <c r="B853" s="145"/>
      <c r="C853" s="145"/>
      <c r="D853" s="145"/>
      <c r="E853" s="13"/>
      <c r="F853" s="13"/>
      <c r="G853" s="144"/>
      <c r="H853" s="13"/>
      <c r="I853" s="13"/>
      <c r="J853" s="13"/>
      <c r="K853" s="13"/>
      <c r="L853" s="13"/>
      <c r="M853" s="13"/>
      <c r="N853" s="146"/>
      <c r="O853" s="13"/>
      <c r="P853" s="146"/>
      <c r="R853" s="129"/>
      <c r="T853" s="13"/>
    </row>
    <row r="854" spans="1:20" ht="12.75" customHeight="1" x14ac:dyDescent="0.2">
      <c r="A854" s="134"/>
      <c r="B854" s="145"/>
      <c r="C854" s="145"/>
      <c r="D854" s="145"/>
      <c r="E854" s="13"/>
      <c r="F854" s="13"/>
      <c r="G854" s="144"/>
      <c r="H854" s="13"/>
      <c r="I854" s="13"/>
      <c r="J854" s="13"/>
      <c r="K854" s="13"/>
      <c r="L854" s="13"/>
      <c r="M854" s="13"/>
      <c r="N854" s="146"/>
      <c r="O854" s="13"/>
      <c r="P854" s="146"/>
      <c r="R854" s="129"/>
      <c r="T854" s="13"/>
    </row>
    <row r="855" spans="1:20" ht="12.75" customHeight="1" x14ac:dyDescent="0.2">
      <c r="A855" s="134"/>
      <c r="B855" s="145"/>
      <c r="C855" s="145"/>
      <c r="D855" s="145"/>
      <c r="E855" s="13"/>
      <c r="F855" s="13"/>
      <c r="G855" s="144"/>
      <c r="H855" s="13"/>
      <c r="I855" s="13"/>
      <c r="J855" s="13"/>
      <c r="K855" s="13"/>
      <c r="L855" s="13"/>
      <c r="M855" s="13"/>
      <c r="N855" s="146"/>
      <c r="O855" s="13"/>
      <c r="P855" s="146"/>
      <c r="R855" s="129"/>
      <c r="T855" s="13"/>
    </row>
    <row r="856" spans="1:20" ht="12.75" customHeight="1" x14ac:dyDescent="0.2">
      <c r="A856" s="134"/>
      <c r="B856" s="145"/>
      <c r="C856" s="145"/>
      <c r="D856" s="145"/>
      <c r="E856" s="13"/>
      <c r="F856" s="13"/>
      <c r="G856" s="144"/>
      <c r="H856" s="13"/>
      <c r="I856" s="13"/>
      <c r="J856" s="13"/>
      <c r="K856" s="13"/>
      <c r="L856" s="13"/>
      <c r="M856" s="13"/>
      <c r="N856" s="146"/>
      <c r="O856" s="13"/>
      <c r="P856" s="146"/>
      <c r="R856" s="129"/>
      <c r="T856" s="13"/>
    </row>
    <row r="857" spans="1:20" ht="12.75" customHeight="1" x14ac:dyDescent="0.2">
      <c r="A857" s="134"/>
      <c r="B857" s="145"/>
      <c r="C857" s="145"/>
      <c r="D857" s="145"/>
      <c r="E857" s="13"/>
      <c r="F857" s="13"/>
      <c r="G857" s="144"/>
      <c r="H857" s="13"/>
      <c r="I857" s="13"/>
      <c r="J857" s="13"/>
      <c r="K857" s="13"/>
      <c r="L857" s="13"/>
      <c r="M857" s="13"/>
      <c r="N857" s="146"/>
      <c r="O857" s="13"/>
      <c r="P857" s="146"/>
      <c r="R857" s="129"/>
      <c r="T857" s="13"/>
    </row>
    <row r="858" spans="1:20" ht="12.75" customHeight="1" x14ac:dyDescent="0.2">
      <c r="A858" s="134"/>
      <c r="B858" s="145"/>
      <c r="C858" s="145"/>
      <c r="D858" s="145"/>
      <c r="E858" s="13"/>
      <c r="F858" s="13"/>
      <c r="G858" s="144"/>
      <c r="H858" s="13"/>
      <c r="I858" s="13"/>
      <c r="J858" s="13"/>
      <c r="K858" s="13"/>
      <c r="L858" s="13"/>
      <c r="M858" s="13"/>
      <c r="N858" s="146"/>
      <c r="O858" s="13"/>
      <c r="P858" s="146"/>
      <c r="R858" s="129"/>
      <c r="T858" s="13"/>
    </row>
    <row r="859" spans="1:20" ht="12.75" customHeight="1" x14ac:dyDescent="0.2">
      <c r="A859" s="134"/>
      <c r="B859" s="145"/>
      <c r="C859" s="145"/>
      <c r="D859" s="145"/>
      <c r="E859" s="13"/>
      <c r="F859" s="13"/>
      <c r="G859" s="144"/>
      <c r="H859" s="13"/>
      <c r="I859" s="13"/>
      <c r="J859" s="13"/>
      <c r="K859" s="13"/>
      <c r="L859" s="13"/>
      <c r="M859" s="13"/>
      <c r="N859" s="146"/>
      <c r="O859" s="13"/>
      <c r="P859" s="146"/>
      <c r="R859" s="129"/>
      <c r="T859" s="13"/>
    </row>
    <row r="860" spans="1:20" ht="12.75" customHeight="1" x14ac:dyDescent="0.2">
      <c r="A860" s="134"/>
      <c r="B860" s="145"/>
      <c r="C860" s="145"/>
      <c r="D860" s="145"/>
      <c r="E860" s="13"/>
      <c r="F860" s="13"/>
      <c r="G860" s="144"/>
      <c r="H860" s="13"/>
      <c r="I860" s="13"/>
      <c r="J860" s="13"/>
      <c r="K860" s="13"/>
      <c r="L860" s="13"/>
      <c r="M860" s="13"/>
      <c r="N860" s="146"/>
      <c r="O860" s="13"/>
      <c r="P860" s="146"/>
      <c r="R860" s="129"/>
      <c r="T860" s="13"/>
    </row>
    <row r="861" spans="1:20" ht="12.75" customHeight="1" x14ac:dyDescent="0.2">
      <c r="A861" s="134"/>
      <c r="B861" s="145"/>
      <c r="C861" s="145"/>
      <c r="D861" s="145"/>
      <c r="E861" s="13"/>
      <c r="F861" s="13"/>
      <c r="G861" s="144"/>
      <c r="H861" s="13"/>
      <c r="I861" s="13"/>
      <c r="J861" s="13"/>
      <c r="K861" s="13"/>
      <c r="L861" s="13"/>
      <c r="M861" s="13"/>
      <c r="N861" s="146"/>
      <c r="O861" s="13"/>
      <c r="P861" s="146"/>
      <c r="R861" s="129"/>
      <c r="T861" s="13"/>
    </row>
    <row r="862" spans="1:20" ht="12.75" customHeight="1" x14ac:dyDescent="0.2">
      <c r="A862" s="134"/>
      <c r="B862" s="145"/>
      <c r="C862" s="145"/>
      <c r="D862" s="145"/>
      <c r="E862" s="13"/>
      <c r="F862" s="13"/>
      <c r="G862" s="144"/>
      <c r="H862" s="13"/>
      <c r="I862" s="13"/>
      <c r="J862" s="13"/>
      <c r="K862" s="13"/>
      <c r="L862" s="13"/>
      <c r="M862" s="13"/>
      <c r="N862" s="146"/>
      <c r="O862" s="13"/>
      <c r="P862" s="146"/>
      <c r="R862" s="129"/>
      <c r="T862" s="13"/>
    </row>
    <row r="863" spans="1:20" ht="12.75" customHeight="1" x14ac:dyDescent="0.2">
      <c r="A863" s="134"/>
      <c r="B863" s="145"/>
      <c r="C863" s="145"/>
      <c r="D863" s="145"/>
      <c r="E863" s="13"/>
      <c r="F863" s="13"/>
      <c r="G863" s="144"/>
      <c r="H863" s="13"/>
      <c r="I863" s="13"/>
      <c r="J863" s="13"/>
      <c r="K863" s="13"/>
      <c r="L863" s="13"/>
      <c r="M863" s="13"/>
      <c r="N863" s="146"/>
      <c r="O863" s="13"/>
      <c r="P863" s="146"/>
      <c r="R863" s="129"/>
      <c r="T863" s="13"/>
    </row>
    <row r="864" spans="1:20" ht="12.75" customHeight="1" x14ac:dyDescent="0.2">
      <c r="A864" s="134"/>
      <c r="B864" s="145"/>
      <c r="C864" s="145"/>
      <c r="D864" s="145"/>
      <c r="E864" s="13"/>
      <c r="F864" s="13"/>
      <c r="G864" s="144"/>
      <c r="H864" s="13"/>
      <c r="I864" s="13"/>
      <c r="J864" s="13"/>
      <c r="K864" s="13"/>
      <c r="L864" s="13"/>
      <c r="M864" s="13"/>
      <c r="N864" s="146"/>
      <c r="O864" s="13"/>
      <c r="P864" s="146"/>
      <c r="R864" s="129"/>
      <c r="T864" s="13"/>
    </row>
    <row r="865" spans="1:20" ht="12.75" customHeight="1" x14ac:dyDescent="0.2">
      <c r="A865" s="134"/>
      <c r="B865" s="145"/>
      <c r="C865" s="145"/>
      <c r="D865" s="145"/>
      <c r="E865" s="13"/>
      <c r="F865" s="13"/>
      <c r="G865" s="144"/>
      <c r="H865" s="13"/>
      <c r="I865" s="13"/>
      <c r="J865" s="13"/>
      <c r="K865" s="13"/>
      <c r="L865" s="13"/>
      <c r="M865" s="13"/>
      <c r="N865" s="146"/>
      <c r="O865" s="13"/>
      <c r="P865" s="146"/>
      <c r="R865" s="129"/>
      <c r="T865" s="13"/>
    </row>
    <row r="866" spans="1:20" ht="12.75" customHeight="1" x14ac:dyDescent="0.2">
      <c r="A866" s="134"/>
      <c r="B866" s="145"/>
      <c r="C866" s="145"/>
      <c r="D866" s="145"/>
      <c r="E866" s="13"/>
      <c r="F866" s="13"/>
      <c r="G866" s="144"/>
      <c r="H866" s="13"/>
      <c r="I866" s="13"/>
      <c r="J866" s="13"/>
      <c r="K866" s="13"/>
      <c r="L866" s="13"/>
      <c r="M866" s="13"/>
      <c r="N866" s="146"/>
      <c r="O866" s="13"/>
      <c r="P866" s="146"/>
      <c r="R866" s="129"/>
      <c r="T866" s="13"/>
    </row>
    <row r="867" spans="1:20" ht="12.75" customHeight="1" x14ac:dyDescent="0.2">
      <c r="A867" s="134"/>
      <c r="B867" s="145"/>
      <c r="C867" s="145"/>
      <c r="D867" s="145"/>
      <c r="E867" s="13"/>
      <c r="F867" s="13"/>
      <c r="G867" s="144"/>
      <c r="H867" s="13"/>
      <c r="I867" s="13"/>
      <c r="J867" s="13"/>
      <c r="K867" s="13"/>
      <c r="L867" s="13"/>
      <c r="M867" s="13"/>
      <c r="N867" s="146"/>
      <c r="O867" s="13"/>
      <c r="P867" s="146"/>
      <c r="R867" s="129"/>
      <c r="T867" s="13"/>
    </row>
    <row r="868" spans="1:20" ht="12.75" customHeight="1" x14ac:dyDescent="0.2">
      <c r="A868" s="134"/>
      <c r="B868" s="145"/>
      <c r="C868" s="145"/>
      <c r="D868" s="145"/>
      <c r="E868" s="13"/>
      <c r="F868" s="13"/>
      <c r="G868" s="144"/>
      <c r="H868" s="13"/>
      <c r="I868" s="13"/>
      <c r="J868" s="13"/>
      <c r="K868" s="13"/>
      <c r="L868" s="13"/>
      <c r="M868" s="13"/>
      <c r="N868" s="146"/>
      <c r="O868" s="13"/>
      <c r="P868" s="146"/>
      <c r="R868" s="129"/>
      <c r="T868" s="13"/>
    </row>
    <row r="869" spans="1:20" ht="12.75" customHeight="1" x14ac:dyDescent="0.2">
      <c r="A869" s="134"/>
      <c r="B869" s="145"/>
      <c r="C869" s="145"/>
      <c r="D869" s="145"/>
      <c r="E869" s="13"/>
      <c r="F869" s="13"/>
      <c r="G869" s="144"/>
      <c r="H869" s="13"/>
      <c r="I869" s="13"/>
      <c r="J869" s="13"/>
      <c r="K869" s="13"/>
      <c r="L869" s="13"/>
      <c r="M869" s="13"/>
      <c r="N869" s="146"/>
      <c r="O869" s="13"/>
      <c r="P869" s="146"/>
      <c r="R869" s="129"/>
      <c r="T869" s="13"/>
    </row>
    <row r="870" spans="1:20" ht="12.75" customHeight="1" x14ac:dyDescent="0.2">
      <c r="A870" s="134"/>
      <c r="B870" s="145"/>
      <c r="C870" s="145"/>
      <c r="D870" s="145"/>
      <c r="E870" s="13"/>
      <c r="F870" s="13"/>
      <c r="G870" s="144"/>
      <c r="H870" s="13"/>
      <c r="I870" s="13"/>
      <c r="J870" s="13"/>
      <c r="K870" s="13"/>
      <c r="L870" s="13"/>
      <c r="M870" s="13"/>
      <c r="N870" s="146"/>
      <c r="O870" s="13"/>
      <c r="P870" s="146"/>
      <c r="R870" s="129"/>
      <c r="T870" s="13"/>
    </row>
    <row r="871" spans="1:20" ht="12.75" customHeight="1" x14ac:dyDescent="0.2">
      <c r="A871" s="134"/>
      <c r="B871" s="145"/>
      <c r="C871" s="145"/>
      <c r="D871" s="145"/>
      <c r="E871" s="13"/>
      <c r="F871" s="13"/>
      <c r="G871" s="144"/>
      <c r="H871" s="13"/>
      <c r="I871" s="13"/>
      <c r="J871" s="13"/>
      <c r="K871" s="13"/>
      <c r="L871" s="13"/>
      <c r="M871" s="13"/>
      <c r="N871" s="146"/>
      <c r="O871" s="13"/>
      <c r="P871" s="146"/>
      <c r="R871" s="129"/>
      <c r="T871" s="13"/>
    </row>
    <row r="872" spans="1:20" ht="12.75" customHeight="1" x14ac:dyDescent="0.2">
      <c r="A872" s="134"/>
      <c r="B872" s="145"/>
      <c r="C872" s="145"/>
      <c r="D872" s="145"/>
      <c r="E872" s="13"/>
      <c r="F872" s="13"/>
      <c r="G872" s="144"/>
      <c r="H872" s="13"/>
      <c r="I872" s="13"/>
      <c r="J872" s="13"/>
      <c r="K872" s="13"/>
      <c r="L872" s="13"/>
      <c r="M872" s="13"/>
      <c r="N872" s="146"/>
      <c r="O872" s="13"/>
      <c r="P872" s="146"/>
      <c r="R872" s="129"/>
      <c r="T872" s="13"/>
    </row>
    <row r="873" spans="1:20" ht="12.75" customHeight="1" x14ac:dyDescent="0.2">
      <c r="A873" s="134"/>
      <c r="B873" s="145"/>
      <c r="C873" s="145"/>
      <c r="D873" s="145"/>
      <c r="E873" s="13"/>
      <c r="F873" s="13"/>
      <c r="G873" s="144"/>
      <c r="H873" s="13"/>
      <c r="I873" s="13"/>
      <c r="J873" s="13"/>
      <c r="K873" s="13"/>
      <c r="L873" s="13"/>
      <c r="M873" s="13"/>
      <c r="N873" s="146"/>
      <c r="O873" s="13"/>
      <c r="P873" s="146"/>
      <c r="R873" s="129"/>
      <c r="T873" s="13"/>
    </row>
    <row r="874" spans="1:20" ht="12.75" customHeight="1" x14ac:dyDescent="0.2">
      <c r="A874" s="134"/>
      <c r="B874" s="145"/>
      <c r="C874" s="145"/>
      <c r="D874" s="145"/>
      <c r="E874" s="13"/>
      <c r="F874" s="13"/>
      <c r="G874" s="144"/>
      <c r="H874" s="13"/>
      <c r="I874" s="13"/>
      <c r="J874" s="13"/>
      <c r="K874" s="13"/>
      <c r="L874" s="13"/>
      <c r="M874" s="13"/>
      <c r="N874" s="146"/>
      <c r="O874" s="13"/>
      <c r="P874" s="146"/>
      <c r="R874" s="129"/>
      <c r="T874" s="13"/>
    </row>
    <row r="875" spans="1:20" ht="12.75" customHeight="1" x14ac:dyDescent="0.2">
      <c r="A875" s="134"/>
      <c r="B875" s="145"/>
      <c r="C875" s="145"/>
      <c r="D875" s="145"/>
      <c r="E875" s="13"/>
      <c r="F875" s="13"/>
      <c r="G875" s="144"/>
      <c r="H875" s="13"/>
      <c r="I875" s="13"/>
      <c r="J875" s="13"/>
      <c r="K875" s="13"/>
      <c r="L875" s="13"/>
      <c r="M875" s="13"/>
      <c r="N875" s="146"/>
      <c r="O875" s="13"/>
      <c r="P875" s="146"/>
      <c r="R875" s="129"/>
      <c r="T875" s="13"/>
    </row>
    <row r="876" spans="1:20" ht="12.75" customHeight="1" x14ac:dyDescent="0.2">
      <c r="A876" s="134"/>
      <c r="B876" s="145"/>
      <c r="C876" s="145"/>
      <c r="D876" s="145"/>
      <c r="E876" s="13"/>
      <c r="F876" s="13"/>
      <c r="G876" s="144"/>
      <c r="H876" s="13"/>
      <c r="I876" s="13"/>
      <c r="J876" s="13"/>
      <c r="K876" s="13"/>
      <c r="L876" s="13"/>
      <c r="M876" s="13"/>
      <c r="N876" s="146"/>
      <c r="O876" s="13"/>
      <c r="P876" s="146"/>
      <c r="R876" s="129"/>
      <c r="T876" s="13"/>
    </row>
    <row r="877" spans="1:20" ht="12.75" customHeight="1" x14ac:dyDescent="0.2">
      <c r="A877" s="134"/>
      <c r="B877" s="145"/>
      <c r="C877" s="145"/>
      <c r="D877" s="145"/>
      <c r="E877" s="13"/>
      <c r="F877" s="13"/>
      <c r="G877" s="144"/>
      <c r="H877" s="13"/>
      <c r="I877" s="13"/>
      <c r="J877" s="13"/>
      <c r="K877" s="13"/>
      <c r="L877" s="13"/>
      <c r="M877" s="13"/>
      <c r="N877" s="146"/>
      <c r="O877" s="13"/>
      <c r="P877" s="146"/>
      <c r="R877" s="129"/>
      <c r="T877" s="13"/>
    </row>
    <row r="878" spans="1:20" ht="12.75" customHeight="1" x14ac:dyDescent="0.2">
      <c r="A878" s="134"/>
      <c r="B878" s="145"/>
      <c r="C878" s="145"/>
      <c r="D878" s="145"/>
      <c r="E878" s="13"/>
      <c r="F878" s="13"/>
      <c r="G878" s="144"/>
      <c r="H878" s="13"/>
      <c r="I878" s="13"/>
      <c r="J878" s="13"/>
      <c r="K878" s="13"/>
      <c r="L878" s="13"/>
      <c r="M878" s="13"/>
      <c r="N878" s="146"/>
      <c r="O878" s="13"/>
      <c r="P878" s="146"/>
      <c r="R878" s="129"/>
      <c r="T878" s="13"/>
    </row>
    <row r="879" spans="1:20" ht="12.75" customHeight="1" x14ac:dyDescent="0.2">
      <c r="A879" s="134"/>
      <c r="B879" s="145"/>
      <c r="C879" s="145"/>
      <c r="D879" s="145"/>
      <c r="E879" s="13"/>
      <c r="F879" s="13"/>
      <c r="G879" s="144"/>
      <c r="H879" s="13"/>
      <c r="I879" s="13"/>
      <c r="J879" s="13"/>
      <c r="K879" s="13"/>
      <c r="L879" s="13"/>
      <c r="M879" s="13"/>
      <c r="N879" s="146"/>
      <c r="O879" s="13"/>
      <c r="P879" s="146"/>
      <c r="R879" s="129"/>
      <c r="T879" s="13"/>
    </row>
    <row r="880" spans="1:20" ht="12.75" customHeight="1" x14ac:dyDescent="0.2">
      <c r="A880" s="134"/>
      <c r="B880" s="145"/>
      <c r="C880" s="145"/>
      <c r="D880" s="145"/>
      <c r="E880" s="13"/>
      <c r="F880" s="13"/>
      <c r="G880" s="144"/>
      <c r="H880" s="13"/>
      <c r="I880" s="13"/>
      <c r="J880" s="13"/>
      <c r="K880" s="13"/>
      <c r="L880" s="13"/>
      <c r="M880" s="13"/>
      <c r="N880" s="146"/>
      <c r="O880" s="13"/>
      <c r="P880" s="146"/>
      <c r="R880" s="129"/>
      <c r="T880" s="13"/>
    </row>
    <row r="881" spans="1:20" ht="12.75" customHeight="1" x14ac:dyDescent="0.2">
      <c r="A881" s="134"/>
      <c r="B881" s="145"/>
      <c r="C881" s="145"/>
      <c r="D881" s="145"/>
      <c r="E881" s="13"/>
      <c r="F881" s="13"/>
      <c r="G881" s="144"/>
      <c r="H881" s="13"/>
      <c r="I881" s="13"/>
      <c r="J881" s="13"/>
      <c r="K881" s="13"/>
      <c r="L881" s="13"/>
      <c r="M881" s="13"/>
      <c r="N881" s="146"/>
      <c r="O881" s="13"/>
      <c r="P881" s="146"/>
      <c r="R881" s="129"/>
      <c r="T881" s="13"/>
    </row>
    <row r="882" spans="1:20" ht="12.75" customHeight="1" x14ac:dyDescent="0.2">
      <c r="A882" s="134"/>
      <c r="B882" s="145"/>
      <c r="C882" s="145"/>
      <c r="D882" s="145"/>
      <c r="E882" s="13"/>
      <c r="F882" s="13"/>
      <c r="G882" s="144"/>
      <c r="H882" s="13"/>
      <c r="I882" s="13"/>
      <c r="J882" s="13"/>
      <c r="K882" s="13"/>
      <c r="L882" s="13"/>
      <c r="M882" s="13"/>
      <c r="N882" s="146"/>
      <c r="O882" s="13"/>
      <c r="P882" s="146"/>
      <c r="R882" s="129"/>
      <c r="T882" s="13"/>
    </row>
    <row r="883" spans="1:20" ht="12.75" customHeight="1" x14ac:dyDescent="0.2">
      <c r="A883" s="134"/>
      <c r="B883" s="145"/>
      <c r="C883" s="145"/>
      <c r="D883" s="145"/>
      <c r="E883" s="13"/>
      <c r="F883" s="13"/>
      <c r="G883" s="144"/>
      <c r="H883" s="13"/>
      <c r="I883" s="13"/>
      <c r="J883" s="13"/>
      <c r="K883" s="13"/>
      <c r="L883" s="13"/>
      <c r="M883" s="13"/>
      <c r="N883" s="146"/>
      <c r="O883" s="13"/>
      <c r="P883" s="146"/>
      <c r="R883" s="129"/>
      <c r="T883" s="13"/>
    </row>
    <row r="884" spans="1:20" ht="12.75" customHeight="1" x14ac:dyDescent="0.2">
      <c r="A884" s="134"/>
      <c r="B884" s="145"/>
      <c r="C884" s="145"/>
      <c r="D884" s="145"/>
      <c r="E884" s="13"/>
      <c r="F884" s="13"/>
      <c r="G884" s="144"/>
      <c r="H884" s="13"/>
      <c r="I884" s="13"/>
      <c r="J884" s="13"/>
      <c r="K884" s="13"/>
      <c r="L884" s="13"/>
      <c r="M884" s="13"/>
      <c r="N884" s="146"/>
      <c r="O884" s="13"/>
      <c r="P884" s="146"/>
      <c r="R884" s="129"/>
      <c r="T884" s="13"/>
    </row>
    <row r="885" spans="1:20" ht="12.75" customHeight="1" x14ac:dyDescent="0.2">
      <c r="A885" s="134"/>
      <c r="B885" s="145"/>
      <c r="C885" s="145"/>
      <c r="D885" s="145"/>
      <c r="E885" s="13"/>
      <c r="F885" s="13"/>
      <c r="G885" s="144"/>
      <c r="H885" s="13"/>
      <c r="I885" s="13"/>
      <c r="J885" s="13"/>
      <c r="K885" s="13"/>
      <c r="L885" s="13"/>
      <c r="M885" s="13"/>
      <c r="N885" s="146"/>
      <c r="O885" s="13"/>
      <c r="P885" s="146"/>
      <c r="R885" s="129"/>
      <c r="T885" s="13"/>
    </row>
    <row r="886" spans="1:20" ht="12.75" customHeight="1" x14ac:dyDescent="0.2">
      <c r="A886" s="134"/>
      <c r="B886" s="145"/>
      <c r="C886" s="145"/>
      <c r="D886" s="145"/>
      <c r="E886" s="13"/>
      <c r="F886" s="13"/>
      <c r="G886" s="144"/>
      <c r="H886" s="13"/>
      <c r="I886" s="13"/>
      <c r="J886" s="13"/>
      <c r="K886" s="13"/>
      <c r="L886" s="13"/>
      <c r="M886" s="13"/>
      <c r="N886" s="146"/>
      <c r="O886" s="13"/>
      <c r="P886" s="146"/>
      <c r="R886" s="129"/>
      <c r="T886" s="13"/>
    </row>
    <row r="887" spans="1:20" ht="12.75" customHeight="1" x14ac:dyDescent="0.2">
      <c r="A887" s="134"/>
      <c r="B887" s="145"/>
      <c r="C887" s="145"/>
      <c r="D887" s="145"/>
      <c r="E887" s="13"/>
      <c r="F887" s="13"/>
      <c r="G887" s="144"/>
      <c r="H887" s="13"/>
      <c r="I887" s="13"/>
      <c r="J887" s="13"/>
      <c r="K887" s="13"/>
      <c r="L887" s="13"/>
      <c r="M887" s="13"/>
      <c r="N887" s="146"/>
      <c r="O887" s="13"/>
      <c r="P887" s="146"/>
      <c r="R887" s="129"/>
      <c r="T887" s="13"/>
    </row>
    <row r="888" spans="1:20" ht="12.75" customHeight="1" x14ac:dyDescent="0.2">
      <c r="A888" s="134"/>
      <c r="B888" s="145"/>
      <c r="C888" s="145"/>
      <c r="D888" s="145"/>
      <c r="E888" s="13"/>
      <c r="F888" s="13"/>
      <c r="G888" s="144"/>
      <c r="H888" s="13"/>
      <c r="I888" s="13"/>
      <c r="J888" s="13"/>
      <c r="K888" s="13"/>
      <c r="L888" s="13"/>
      <c r="M888" s="13"/>
      <c r="N888" s="146"/>
      <c r="O888" s="13"/>
      <c r="P888" s="146"/>
      <c r="R888" s="129"/>
      <c r="T888" s="13"/>
    </row>
    <row r="889" spans="1:20" ht="12.75" customHeight="1" x14ac:dyDescent="0.2">
      <c r="A889" s="134"/>
      <c r="B889" s="145"/>
      <c r="C889" s="145"/>
      <c r="D889" s="145"/>
      <c r="E889" s="13"/>
      <c r="F889" s="13"/>
      <c r="G889" s="144"/>
      <c r="H889" s="13"/>
      <c r="I889" s="13"/>
      <c r="J889" s="13"/>
      <c r="K889" s="13"/>
      <c r="L889" s="13"/>
      <c r="M889" s="13"/>
      <c r="N889" s="146"/>
      <c r="O889" s="13"/>
      <c r="P889" s="146"/>
      <c r="R889" s="129"/>
      <c r="T889" s="13"/>
    </row>
    <row r="890" spans="1:20" ht="12.75" customHeight="1" x14ac:dyDescent="0.2">
      <c r="A890" s="134"/>
      <c r="B890" s="145"/>
      <c r="C890" s="145"/>
      <c r="D890" s="145"/>
      <c r="E890" s="13"/>
      <c r="F890" s="13"/>
      <c r="G890" s="144"/>
      <c r="H890" s="13"/>
      <c r="I890" s="13"/>
      <c r="J890" s="13"/>
      <c r="K890" s="13"/>
      <c r="L890" s="13"/>
      <c r="M890" s="13"/>
      <c r="N890" s="146"/>
      <c r="O890" s="13"/>
      <c r="P890" s="146"/>
      <c r="R890" s="129"/>
      <c r="T890" s="13"/>
    </row>
    <row r="891" spans="1:20" ht="12.75" customHeight="1" x14ac:dyDescent="0.2">
      <c r="A891" s="134"/>
      <c r="B891" s="145"/>
      <c r="C891" s="145"/>
      <c r="D891" s="145"/>
      <c r="E891" s="13"/>
      <c r="F891" s="13"/>
      <c r="G891" s="144"/>
      <c r="H891" s="13"/>
      <c r="I891" s="13"/>
      <c r="J891" s="13"/>
      <c r="K891" s="13"/>
      <c r="L891" s="13"/>
      <c r="M891" s="13"/>
      <c r="N891" s="146"/>
      <c r="O891" s="13"/>
      <c r="P891" s="146"/>
      <c r="R891" s="129"/>
      <c r="T891" s="13"/>
    </row>
    <row r="892" spans="1:20" ht="12.75" customHeight="1" x14ac:dyDescent="0.2">
      <c r="A892" s="134"/>
      <c r="B892" s="145"/>
      <c r="C892" s="145"/>
      <c r="D892" s="145"/>
      <c r="E892" s="13"/>
      <c r="F892" s="13"/>
      <c r="G892" s="144"/>
      <c r="H892" s="13"/>
      <c r="I892" s="13"/>
      <c r="J892" s="13"/>
      <c r="K892" s="13"/>
      <c r="L892" s="13"/>
      <c r="M892" s="13"/>
      <c r="N892" s="146"/>
      <c r="O892" s="13"/>
      <c r="P892" s="146"/>
      <c r="R892" s="129"/>
      <c r="T892" s="13"/>
    </row>
    <row r="893" spans="1:20" ht="12.75" customHeight="1" x14ac:dyDescent="0.2">
      <c r="A893" s="134"/>
      <c r="B893" s="145"/>
      <c r="C893" s="145"/>
      <c r="D893" s="145"/>
      <c r="E893" s="13"/>
      <c r="F893" s="13"/>
      <c r="G893" s="144"/>
      <c r="H893" s="13"/>
      <c r="I893" s="13"/>
      <c r="J893" s="13"/>
      <c r="K893" s="13"/>
      <c r="L893" s="13"/>
      <c r="M893" s="13"/>
      <c r="N893" s="146"/>
      <c r="O893" s="13"/>
      <c r="P893" s="146"/>
      <c r="R893" s="129"/>
      <c r="T893" s="13"/>
    </row>
    <row r="894" spans="1:20" ht="12.75" customHeight="1" x14ac:dyDescent="0.2">
      <c r="A894" s="134"/>
      <c r="B894" s="145"/>
      <c r="C894" s="145"/>
      <c r="D894" s="145"/>
      <c r="E894" s="13"/>
      <c r="F894" s="13"/>
      <c r="G894" s="144"/>
      <c r="H894" s="13"/>
      <c r="I894" s="13"/>
      <c r="J894" s="13"/>
      <c r="K894" s="13"/>
      <c r="L894" s="13"/>
      <c r="M894" s="13"/>
      <c r="N894" s="146"/>
      <c r="O894" s="13"/>
      <c r="P894" s="146"/>
      <c r="R894" s="129"/>
      <c r="T894" s="13"/>
    </row>
    <row r="895" spans="1:20" ht="12.75" customHeight="1" x14ac:dyDescent="0.2">
      <c r="A895" s="134"/>
      <c r="B895" s="145"/>
      <c r="C895" s="145"/>
      <c r="D895" s="145"/>
      <c r="E895" s="13"/>
      <c r="F895" s="13"/>
      <c r="G895" s="144"/>
      <c r="H895" s="13"/>
      <c r="I895" s="13"/>
      <c r="J895" s="13"/>
      <c r="K895" s="13"/>
      <c r="L895" s="13"/>
      <c r="M895" s="13"/>
      <c r="N895" s="146"/>
      <c r="O895" s="13"/>
      <c r="P895" s="146"/>
      <c r="R895" s="129"/>
      <c r="T895" s="13"/>
    </row>
    <row r="896" spans="1:20" ht="12.75" customHeight="1" x14ac:dyDescent="0.2">
      <c r="A896" s="134"/>
      <c r="B896" s="145"/>
      <c r="C896" s="145"/>
      <c r="D896" s="145"/>
      <c r="E896" s="13"/>
      <c r="F896" s="13"/>
      <c r="G896" s="144"/>
      <c r="H896" s="13"/>
      <c r="I896" s="13"/>
      <c r="J896" s="13"/>
      <c r="K896" s="13"/>
      <c r="L896" s="13"/>
      <c r="M896" s="13"/>
      <c r="N896" s="146"/>
      <c r="O896" s="13"/>
      <c r="P896" s="146"/>
      <c r="R896" s="129"/>
      <c r="T896" s="13"/>
    </row>
    <row r="897" spans="1:20" ht="12.75" customHeight="1" x14ac:dyDescent="0.2">
      <c r="A897" s="134"/>
      <c r="B897" s="145"/>
      <c r="C897" s="145"/>
      <c r="D897" s="145"/>
      <c r="E897" s="13"/>
      <c r="F897" s="13"/>
      <c r="G897" s="144"/>
      <c r="H897" s="13"/>
      <c r="I897" s="13"/>
      <c r="J897" s="13"/>
      <c r="K897" s="13"/>
      <c r="L897" s="13"/>
      <c r="M897" s="13"/>
      <c r="N897" s="146"/>
      <c r="O897" s="13"/>
      <c r="P897" s="146"/>
      <c r="R897" s="129"/>
      <c r="T897" s="13"/>
    </row>
    <row r="898" spans="1:20" ht="12.75" customHeight="1" x14ac:dyDescent="0.2">
      <c r="A898" s="134"/>
      <c r="B898" s="145"/>
      <c r="C898" s="145"/>
      <c r="D898" s="145"/>
      <c r="E898" s="13"/>
      <c r="F898" s="13"/>
      <c r="G898" s="144"/>
      <c r="H898" s="13"/>
      <c r="I898" s="13"/>
      <c r="J898" s="13"/>
      <c r="K898" s="13"/>
      <c r="L898" s="13"/>
      <c r="M898" s="13"/>
      <c r="N898" s="146"/>
      <c r="O898" s="13"/>
      <c r="P898" s="146"/>
      <c r="R898" s="129"/>
      <c r="T898" s="13"/>
    </row>
    <row r="899" spans="1:20" ht="12.75" customHeight="1" x14ac:dyDescent="0.2">
      <c r="A899" s="134"/>
      <c r="B899" s="145"/>
      <c r="C899" s="145"/>
      <c r="D899" s="145"/>
      <c r="E899" s="13"/>
      <c r="F899" s="13"/>
      <c r="G899" s="144"/>
      <c r="H899" s="13"/>
      <c r="I899" s="13"/>
      <c r="J899" s="13"/>
      <c r="K899" s="13"/>
      <c r="L899" s="13"/>
      <c r="M899" s="13"/>
      <c r="N899" s="146"/>
      <c r="O899" s="13"/>
      <c r="P899" s="146"/>
      <c r="R899" s="129"/>
      <c r="T899" s="13"/>
    </row>
    <row r="900" spans="1:20" ht="12.75" customHeight="1" x14ac:dyDescent="0.2">
      <c r="A900" s="134"/>
      <c r="B900" s="145"/>
      <c r="C900" s="145"/>
      <c r="D900" s="145"/>
      <c r="E900" s="13"/>
      <c r="F900" s="13"/>
      <c r="G900" s="144"/>
      <c r="H900" s="13"/>
      <c r="I900" s="13"/>
      <c r="J900" s="13"/>
      <c r="K900" s="13"/>
      <c r="L900" s="13"/>
      <c r="M900" s="13"/>
      <c r="N900" s="146"/>
      <c r="O900" s="13"/>
      <c r="P900" s="146"/>
      <c r="R900" s="129"/>
      <c r="T900" s="13"/>
    </row>
    <row r="901" spans="1:20" ht="12.75" customHeight="1" x14ac:dyDescent="0.2">
      <c r="A901" s="134"/>
      <c r="B901" s="145"/>
      <c r="C901" s="145"/>
      <c r="D901" s="145"/>
      <c r="E901" s="13"/>
      <c r="F901" s="13"/>
      <c r="G901" s="144"/>
      <c r="H901" s="13"/>
      <c r="I901" s="13"/>
      <c r="J901" s="13"/>
      <c r="K901" s="13"/>
      <c r="L901" s="13"/>
      <c r="M901" s="13"/>
      <c r="N901" s="146"/>
      <c r="O901" s="13"/>
      <c r="P901" s="146"/>
      <c r="R901" s="129"/>
      <c r="T901" s="13"/>
    </row>
    <row r="902" spans="1:20" ht="12.75" customHeight="1" x14ac:dyDescent="0.2">
      <c r="A902" s="134"/>
      <c r="B902" s="145"/>
      <c r="C902" s="145"/>
      <c r="D902" s="145"/>
      <c r="E902" s="13"/>
      <c r="F902" s="13"/>
      <c r="G902" s="144"/>
      <c r="H902" s="13"/>
      <c r="I902" s="13"/>
      <c r="J902" s="13"/>
      <c r="K902" s="13"/>
      <c r="L902" s="13"/>
      <c r="M902" s="13"/>
      <c r="N902" s="146"/>
      <c r="O902" s="13"/>
      <c r="P902" s="146"/>
      <c r="R902" s="129"/>
      <c r="T902" s="13"/>
    </row>
    <row r="903" spans="1:20" ht="12.75" customHeight="1" x14ac:dyDescent="0.2">
      <c r="A903" s="134"/>
      <c r="B903" s="145"/>
      <c r="C903" s="145"/>
      <c r="D903" s="145"/>
      <c r="E903" s="13"/>
      <c r="F903" s="13"/>
      <c r="G903" s="144"/>
      <c r="H903" s="13"/>
      <c r="I903" s="13"/>
      <c r="J903" s="13"/>
      <c r="K903" s="13"/>
      <c r="L903" s="13"/>
      <c r="M903" s="13"/>
      <c r="N903" s="146"/>
      <c r="O903" s="13"/>
      <c r="P903" s="146"/>
      <c r="R903" s="129"/>
      <c r="T903" s="13"/>
    </row>
    <row r="904" spans="1:20" ht="12.75" customHeight="1" x14ac:dyDescent="0.2">
      <c r="A904" s="134"/>
      <c r="B904" s="145"/>
      <c r="C904" s="145"/>
      <c r="D904" s="145"/>
      <c r="E904" s="13"/>
      <c r="F904" s="13"/>
      <c r="G904" s="144"/>
      <c r="H904" s="13"/>
      <c r="I904" s="13"/>
      <c r="J904" s="13"/>
      <c r="K904" s="13"/>
      <c r="L904" s="13"/>
      <c r="M904" s="13"/>
      <c r="N904" s="146"/>
      <c r="O904" s="13"/>
      <c r="P904" s="146"/>
      <c r="R904" s="129"/>
      <c r="T904" s="13"/>
    </row>
    <row r="905" spans="1:20" ht="12.75" customHeight="1" x14ac:dyDescent="0.2">
      <c r="A905" s="134"/>
      <c r="B905" s="145"/>
      <c r="C905" s="145"/>
      <c r="D905" s="145"/>
      <c r="E905" s="13"/>
      <c r="F905" s="13"/>
      <c r="G905" s="144"/>
      <c r="H905" s="13"/>
      <c r="I905" s="13"/>
      <c r="J905" s="13"/>
      <c r="K905" s="13"/>
      <c r="L905" s="13"/>
      <c r="M905" s="13"/>
      <c r="N905" s="146"/>
      <c r="O905" s="13"/>
      <c r="P905" s="146"/>
      <c r="R905" s="129"/>
      <c r="T905" s="13"/>
    </row>
    <row r="906" spans="1:20" ht="12.75" customHeight="1" x14ac:dyDescent="0.2">
      <c r="A906" s="134"/>
      <c r="B906" s="145"/>
      <c r="C906" s="145"/>
      <c r="D906" s="145"/>
      <c r="E906" s="13"/>
      <c r="F906" s="13"/>
      <c r="G906" s="144"/>
      <c r="H906" s="13"/>
      <c r="I906" s="13"/>
      <c r="J906" s="13"/>
      <c r="K906" s="13"/>
      <c r="L906" s="13"/>
      <c r="M906" s="13"/>
      <c r="N906" s="146"/>
      <c r="O906" s="13"/>
      <c r="P906" s="146"/>
      <c r="R906" s="129"/>
      <c r="T906" s="13"/>
    </row>
    <row r="907" spans="1:20" ht="12.75" customHeight="1" x14ac:dyDescent="0.2">
      <c r="A907" s="134"/>
      <c r="B907" s="145"/>
      <c r="C907" s="145"/>
      <c r="D907" s="145"/>
      <c r="E907" s="13"/>
      <c r="F907" s="13"/>
      <c r="G907" s="144"/>
      <c r="H907" s="13"/>
      <c r="I907" s="13"/>
      <c r="J907" s="13"/>
      <c r="K907" s="13"/>
      <c r="L907" s="13"/>
      <c r="M907" s="13"/>
      <c r="N907" s="146"/>
      <c r="O907" s="13"/>
      <c r="P907" s="146"/>
      <c r="R907" s="129"/>
      <c r="T907" s="13"/>
    </row>
    <row r="908" spans="1:20" ht="12.75" customHeight="1" x14ac:dyDescent="0.2">
      <c r="A908" s="134"/>
      <c r="B908" s="145"/>
      <c r="C908" s="145"/>
      <c r="D908" s="145"/>
      <c r="E908" s="13"/>
      <c r="F908" s="13"/>
      <c r="G908" s="144"/>
      <c r="H908" s="13"/>
      <c r="I908" s="13"/>
      <c r="J908" s="13"/>
      <c r="K908" s="13"/>
      <c r="L908" s="13"/>
      <c r="M908" s="13"/>
      <c r="N908" s="146"/>
      <c r="O908" s="13"/>
      <c r="P908" s="146"/>
      <c r="R908" s="129"/>
      <c r="T908" s="13"/>
    </row>
    <row r="909" spans="1:20" ht="12.75" customHeight="1" x14ac:dyDescent="0.2">
      <c r="A909" s="134"/>
      <c r="B909" s="145"/>
      <c r="C909" s="145"/>
      <c r="D909" s="145"/>
      <c r="E909" s="13"/>
      <c r="F909" s="13"/>
      <c r="G909" s="144"/>
      <c r="H909" s="13"/>
      <c r="I909" s="13"/>
      <c r="J909" s="13"/>
      <c r="K909" s="13"/>
      <c r="L909" s="13"/>
      <c r="M909" s="13"/>
      <c r="N909" s="146"/>
      <c r="O909" s="13"/>
      <c r="P909" s="146"/>
      <c r="R909" s="129"/>
      <c r="T909" s="13"/>
    </row>
    <row r="910" spans="1:20" ht="12.75" customHeight="1" x14ac:dyDescent="0.2">
      <c r="A910" s="134"/>
      <c r="B910" s="145"/>
      <c r="C910" s="145"/>
      <c r="D910" s="145"/>
      <c r="E910" s="13"/>
      <c r="F910" s="13"/>
      <c r="G910" s="144"/>
      <c r="H910" s="13"/>
      <c r="I910" s="13"/>
      <c r="J910" s="13"/>
      <c r="K910" s="13"/>
      <c r="L910" s="13"/>
      <c r="M910" s="13"/>
      <c r="N910" s="146"/>
      <c r="O910" s="13"/>
      <c r="P910" s="146"/>
      <c r="R910" s="129"/>
      <c r="T910" s="13"/>
    </row>
    <row r="911" spans="1:20" ht="12.75" customHeight="1" x14ac:dyDescent="0.2">
      <c r="A911" s="134"/>
      <c r="B911" s="145"/>
      <c r="C911" s="145"/>
      <c r="D911" s="145"/>
      <c r="E911" s="13"/>
      <c r="F911" s="13"/>
      <c r="G911" s="144"/>
      <c r="H911" s="13"/>
      <c r="I911" s="13"/>
      <c r="J911" s="13"/>
      <c r="K911" s="13"/>
      <c r="L911" s="13"/>
      <c r="M911" s="13"/>
      <c r="N911" s="146"/>
      <c r="O911" s="13"/>
      <c r="P911" s="146"/>
      <c r="R911" s="129"/>
      <c r="T911" s="13"/>
    </row>
    <row r="912" spans="1:20" ht="12.75" customHeight="1" x14ac:dyDescent="0.2">
      <c r="A912" s="134"/>
      <c r="B912" s="145"/>
      <c r="C912" s="145"/>
      <c r="D912" s="145"/>
      <c r="E912" s="13"/>
      <c r="F912" s="13"/>
      <c r="G912" s="144"/>
      <c r="H912" s="13"/>
      <c r="I912" s="13"/>
      <c r="J912" s="13"/>
      <c r="K912" s="13"/>
      <c r="L912" s="13"/>
      <c r="M912" s="13"/>
      <c r="N912" s="146"/>
      <c r="O912" s="13"/>
      <c r="P912" s="146"/>
      <c r="R912" s="129"/>
      <c r="T912" s="13"/>
    </row>
    <row r="913" spans="1:20" ht="12.75" customHeight="1" x14ac:dyDescent="0.2">
      <c r="A913" s="134"/>
      <c r="B913" s="145"/>
      <c r="C913" s="145"/>
      <c r="D913" s="145"/>
      <c r="E913" s="13"/>
      <c r="F913" s="13"/>
      <c r="G913" s="144"/>
      <c r="H913" s="13"/>
      <c r="I913" s="13"/>
      <c r="J913" s="13"/>
      <c r="K913" s="13"/>
      <c r="L913" s="13"/>
      <c r="M913" s="13"/>
      <c r="N913" s="146"/>
      <c r="O913" s="13"/>
      <c r="P913" s="146"/>
      <c r="R913" s="129"/>
      <c r="T913" s="13"/>
    </row>
    <row r="914" spans="1:20" ht="12.75" customHeight="1" x14ac:dyDescent="0.2">
      <c r="A914" s="134"/>
      <c r="B914" s="145"/>
      <c r="C914" s="145"/>
      <c r="D914" s="145"/>
      <c r="E914" s="13"/>
      <c r="F914" s="13"/>
      <c r="G914" s="144"/>
      <c r="H914" s="13"/>
      <c r="I914" s="13"/>
      <c r="J914" s="13"/>
      <c r="K914" s="13"/>
      <c r="L914" s="13"/>
      <c r="M914" s="13"/>
      <c r="N914" s="146"/>
      <c r="O914" s="13"/>
      <c r="P914" s="146"/>
      <c r="R914" s="129"/>
      <c r="T914" s="13"/>
    </row>
    <row r="915" spans="1:20" ht="12.75" customHeight="1" x14ac:dyDescent="0.2">
      <c r="A915" s="134"/>
      <c r="B915" s="145"/>
      <c r="C915" s="145"/>
      <c r="D915" s="145"/>
      <c r="E915" s="13"/>
      <c r="F915" s="13"/>
      <c r="G915" s="144"/>
      <c r="H915" s="13"/>
      <c r="I915" s="13"/>
      <c r="J915" s="13"/>
      <c r="K915" s="13"/>
      <c r="L915" s="13"/>
      <c r="M915" s="13"/>
      <c r="N915" s="146"/>
      <c r="O915" s="13"/>
      <c r="P915" s="146"/>
      <c r="R915" s="129"/>
      <c r="T915" s="13"/>
    </row>
    <row r="916" spans="1:20" ht="12.75" customHeight="1" x14ac:dyDescent="0.2">
      <c r="A916" s="134"/>
      <c r="B916" s="145"/>
      <c r="C916" s="145"/>
      <c r="D916" s="145"/>
      <c r="E916" s="13"/>
      <c r="F916" s="13"/>
      <c r="G916" s="144"/>
      <c r="H916" s="13"/>
      <c r="I916" s="13"/>
      <c r="J916" s="13"/>
      <c r="K916" s="13"/>
      <c r="L916" s="13"/>
      <c r="M916" s="13"/>
      <c r="N916" s="146"/>
      <c r="O916" s="13"/>
      <c r="P916" s="146"/>
      <c r="R916" s="129"/>
      <c r="T916" s="13"/>
    </row>
    <row r="917" spans="1:20" ht="12.75" customHeight="1" x14ac:dyDescent="0.2">
      <c r="A917" s="134"/>
      <c r="B917" s="145"/>
      <c r="C917" s="145"/>
      <c r="D917" s="145"/>
      <c r="E917" s="13"/>
      <c r="F917" s="13"/>
      <c r="G917" s="144"/>
      <c r="H917" s="13"/>
      <c r="I917" s="13"/>
      <c r="J917" s="13"/>
      <c r="K917" s="13"/>
      <c r="L917" s="13"/>
      <c r="M917" s="13"/>
      <c r="N917" s="146"/>
      <c r="O917" s="13"/>
      <c r="P917" s="146"/>
      <c r="R917" s="129"/>
      <c r="T917" s="13"/>
    </row>
    <row r="918" spans="1:20" ht="12.75" customHeight="1" x14ac:dyDescent="0.2">
      <c r="A918" s="134"/>
      <c r="B918" s="145"/>
      <c r="C918" s="145"/>
      <c r="D918" s="145"/>
      <c r="E918" s="13"/>
      <c r="F918" s="13"/>
      <c r="G918" s="144"/>
      <c r="H918" s="13"/>
      <c r="I918" s="13"/>
      <c r="J918" s="13"/>
      <c r="K918" s="13"/>
      <c r="L918" s="13"/>
      <c r="M918" s="13"/>
      <c r="N918" s="146"/>
      <c r="O918" s="13"/>
      <c r="P918" s="146"/>
      <c r="R918" s="129"/>
      <c r="T918" s="13"/>
    </row>
    <row r="919" spans="1:20" ht="12.75" customHeight="1" x14ac:dyDescent="0.2">
      <c r="A919" s="134"/>
      <c r="B919" s="145"/>
      <c r="C919" s="145"/>
      <c r="D919" s="145"/>
      <c r="E919" s="13"/>
      <c r="F919" s="13"/>
      <c r="G919" s="144"/>
      <c r="H919" s="13"/>
      <c r="I919" s="13"/>
      <c r="J919" s="13"/>
      <c r="K919" s="13"/>
      <c r="L919" s="13"/>
      <c r="M919" s="13"/>
      <c r="N919" s="146"/>
      <c r="O919" s="13"/>
      <c r="P919" s="146"/>
      <c r="R919" s="129"/>
      <c r="T919" s="13"/>
    </row>
    <row r="920" spans="1:20" ht="12.75" customHeight="1" x14ac:dyDescent="0.2">
      <c r="A920" s="134"/>
      <c r="B920" s="145"/>
      <c r="C920" s="145"/>
      <c r="D920" s="145"/>
      <c r="E920" s="13"/>
      <c r="F920" s="13"/>
      <c r="G920" s="144"/>
      <c r="H920" s="13"/>
      <c r="I920" s="13"/>
      <c r="J920" s="13"/>
      <c r="K920" s="13"/>
      <c r="L920" s="13"/>
      <c r="M920" s="13"/>
      <c r="N920" s="146"/>
      <c r="O920" s="13"/>
      <c r="P920" s="146"/>
      <c r="R920" s="129"/>
      <c r="T920" s="13"/>
    </row>
    <row r="921" spans="1:20" ht="12.75" customHeight="1" x14ac:dyDescent="0.2">
      <c r="A921" s="134"/>
      <c r="B921" s="145"/>
      <c r="C921" s="145"/>
      <c r="D921" s="145"/>
      <c r="E921" s="13"/>
      <c r="F921" s="13"/>
      <c r="G921" s="144"/>
      <c r="H921" s="13"/>
      <c r="I921" s="13"/>
      <c r="J921" s="13"/>
      <c r="K921" s="13"/>
      <c r="L921" s="13"/>
      <c r="M921" s="13"/>
      <c r="N921" s="146"/>
      <c r="O921" s="13"/>
      <c r="P921" s="146"/>
      <c r="R921" s="129"/>
      <c r="T921" s="13"/>
    </row>
    <row r="922" spans="1:20" ht="12.75" customHeight="1" x14ac:dyDescent="0.2">
      <c r="A922" s="134"/>
      <c r="B922" s="145"/>
      <c r="C922" s="145"/>
      <c r="D922" s="145"/>
      <c r="E922" s="13"/>
      <c r="F922" s="13"/>
      <c r="G922" s="144"/>
      <c r="H922" s="13"/>
      <c r="I922" s="13"/>
      <c r="J922" s="13"/>
      <c r="K922" s="13"/>
      <c r="L922" s="13"/>
      <c r="M922" s="13"/>
      <c r="N922" s="146"/>
      <c r="O922" s="13"/>
      <c r="P922" s="146"/>
      <c r="R922" s="129"/>
      <c r="T922" s="13"/>
    </row>
    <row r="923" spans="1:20" ht="12.75" customHeight="1" x14ac:dyDescent="0.2">
      <c r="A923" s="134"/>
      <c r="B923" s="145"/>
      <c r="C923" s="145"/>
      <c r="D923" s="145"/>
      <c r="E923" s="13"/>
      <c r="F923" s="13"/>
      <c r="G923" s="144"/>
      <c r="H923" s="13"/>
      <c r="I923" s="13"/>
      <c r="J923" s="13"/>
      <c r="K923" s="13"/>
      <c r="L923" s="13"/>
      <c r="M923" s="13"/>
      <c r="N923" s="146"/>
      <c r="O923" s="13"/>
      <c r="P923" s="146"/>
      <c r="R923" s="129"/>
      <c r="T923" s="13"/>
    </row>
    <row r="924" spans="1:20" ht="12.75" customHeight="1" x14ac:dyDescent="0.2">
      <c r="A924" s="134"/>
      <c r="B924" s="145"/>
      <c r="C924" s="145"/>
      <c r="D924" s="145"/>
      <c r="E924" s="13"/>
      <c r="F924" s="13"/>
      <c r="G924" s="144"/>
      <c r="H924" s="13"/>
      <c r="I924" s="13"/>
      <c r="J924" s="13"/>
      <c r="K924" s="13"/>
      <c r="L924" s="13"/>
      <c r="M924" s="13"/>
      <c r="N924" s="146"/>
      <c r="O924" s="13"/>
      <c r="P924" s="146"/>
      <c r="R924" s="129"/>
      <c r="T924" s="13"/>
    </row>
    <row r="925" spans="1:20" ht="12.75" customHeight="1" x14ac:dyDescent="0.2">
      <c r="A925" s="134"/>
      <c r="B925" s="145"/>
      <c r="C925" s="145"/>
      <c r="D925" s="145"/>
      <c r="E925" s="13"/>
      <c r="F925" s="13"/>
      <c r="G925" s="144"/>
      <c r="H925" s="13"/>
      <c r="I925" s="13"/>
      <c r="J925" s="13"/>
      <c r="K925" s="13"/>
      <c r="L925" s="13"/>
      <c r="M925" s="13"/>
      <c r="N925" s="146"/>
      <c r="O925" s="13"/>
      <c r="P925" s="146"/>
      <c r="R925" s="129"/>
      <c r="T925" s="13"/>
    </row>
    <row r="926" spans="1:20" ht="12.75" customHeight="1" x14ac:dyDescent="0.2">
      <c r="A926" s="134"/>
      <c r="B926" s="145"/>
      <c r="C926" s="145"/>
      <c r="D926" s="145"/>
      <c r="E926" s="13"/>
      <c r="F926" s="13"/>
      <c r="G926" s="144"/>
      <c r="H926" s="13"/>
      <c r="I926" s="13"/>
      <c r="J926" s="13"/>
      <c r="K926" s="13"/>
      <c r="L926" s="13"/>
      <c r="M926" s="13"/>
      <c r="N926" s="146"/>
      <c r="O926" s="13"/>
      <c r="P926" s="146"/>
      <c r="R926" s="129"/>
      <c r="T926" s="13"/>
    </row>
    <row r="927" spans="1:20" ht="12.75" customHeight="1" x14ac:dyDescent="0.2">
      <c r="A927" s="134"/>
      <c r="B927" s="145"/>
      <c r="C927" s="145"/>
      <c r="D927" s="145"/>
      <c r="E927" s="13"/>
      <c r="F927" s="13"/>
      <c r="G927" s="144"/>
      <c r="H927" s="13"/>
      <c r="I927" s="13"/>
      <c r="J927" s="13"/>
      <c r="K927" s="13"/>
      <c r="L927" s="13"/>
      <c r="M927" s="13"/>
      <c r="N927" s="146"/>
      <c r="O927" s="13"/>
      <c r="P927" s="146"/>
      <c r="R927" s="129"/>
      <c r="T927" s="13"/>
    </row>
    <row r="928" spans="1:20" ht="12.75" customHeight="1" x14ac:dyDescent="0.2">
      <c r="A928" s="134"/>
      <c r="B928" s="145"/>
      <c r="C928" s="145"/>
      <c r="D928" s="145"/>
      <c r="E928" s="13"/>
      <c r="F928" s="13"/>
      <c r="G928" s="144"/>
      <c r="H928" s="13"/>
      <c r="I928" s="13"/>
      <c r="J928" s="13"/>
      <c r="K928" s="13"/>
      <c r="L928" s="13"/>
      <c r="M928" s="13"/>
      <c r="N928" s="146"/>
      <c r="O928" s="13"/>
      <c r="P928" s="146"/>
      <c r="R928" s="129"/>
      <c r="T928" s="13"/>
    </row>
    <row r="929" spans="1:20" ht="12.75" customHeight="1" x14ac:dyDescent="0.2">
      <c r="A929" s="134"/>
      <c r="B929" s="145"/>
      <c r="C929" s="145"/>
      <c r="D929" s="145"/>
      <c r="E929" s="13"/>
      <c r="F929" s="13"/>
      <c r="G929" s="144"/>
      <c r="H929" s="13"/>
      <c r="I929" s="13"/>
      <c r="J929" s="13"/>
      <c r="K929" s="13"/>
      <c r="L929" s="13"/>
      <c r="M929" s="13"/>
      <c r="N929" s="146"/>
      <c r="O929" s="13"/>
      <c r="P929" s="146"/>
      <c r="R929" s="129"/>
      <c r="T929" s="13"/>
    </row>
    <row r="930" spans="1:20" ht="12.75" customHeight="1" x14ac:dyDescent="0.2">
      <c r="A930" s="134"/>
      <c r="B930" s="145"/>
      <c r="C930" s="145"/>
      <c r="D930" s="145"/>
      <c r="E930" s="13"/>
      <c r="F930" s="13"/>
      <c r="G930" s="144"/>
      <c r="H930" s="13"/>
      <c r="I930" s="13"/>
      <c r="J930" s="13"/>
      <c r="K930" s="13"/>
      <c r="L930" s="13"/>
      <c r="M930" s="13"/>
      <c r="N930" s="146"/>
      <c r="O930" s="13"/>
      <c r="P930" s="146"/>
      <c r="R930" s="129"/>
      <c r="T930" s="13"/>
    </row>
    <row r="931" spans="1:20" ht="12.75" customHeight="1" x14ac:dyDescent="0.2">
      <c r="A931" s="134"/>
      <c r="B931" s="145"/>
      <c r="C931" s="145"/>
      <c r="D931" s="145"/>
      <c r="E931" s="13"/>
      <c r="F931" s="13"/>
      <c r="G931" s="144"/>
      <c r="H931" s="13"/>
      <c r="I931" s="13"/>
      <c r="J931" s="13"/>
      <c r="K931" s="13"/>
      <c r="L931" s="13"/>
      <c r="M931" s="13"/>
      <c r="N931" s="146"/>
      <c r="O931" s="13"/>
      <c r="P931" s="146"/>
      <c r="R931" s="129"/>
      <c r="T931" s="13"/>
    </row>
    <row r="932" spans="1:20" ht="12.75" customHeight="1" x14ac:dyDescent="0.2">
      <c r="A932" s="134"/>
      <c r="B932" s="145"/>
      <c r="C932" s="145"/>
      <c r="D932" s="145"/>
      <c r="E932" s="13"/>
      <c r="F932" s="13"/>
      <c r="G932" s="144"/>
      <c r="H932" s="13"/>
      <c r="I932" s="13"/>
      <c r="J932" s="13"/>
      <c r="K932" s="13"/>
      <c r="L932" s="13"/>
      <c r="M932" s="13"/>
      <c r="N932" s="146"/>
      <c r="O932" s="13"/>
      <c r="P932" s="146"/>
      <c r="R932" s="129"/>
      <c r="T932" s="13"/>
    </row>
    <row r="933" spans="1:20" ht="12.75" customHeight="1" x14ac:dyDescent="0.2">
      <c r="A933" s="134"/>
      <c r="B933" s="145"/>
      <c r="C933" s="145"/>
      <c r="D933" s="145"/>
      <c r="E933" s="13"/>
      <c r="F933" s="13"/>
      <c r="G933" s="144"/>
      <c r="H933" s="13"/>
      <c r="I933" s="13"/>
      <c r="J933" s="13"/>
      <c r="K933" s="13"/>
      <c r="L933" s="13"/>
      <c r="M933" s="13"/>
      <c r="N933" s="146"/>
      <c r="O933" s="13"/>
      <c r="P933" s="146"/>
      <c r="R933" s="129"/>
      <c r="T933" s="13"/>
    </row>
    <row r="934" spans="1:20" ht="12.75" customHeight="1" x14ac:dyDescent="0.2">
      <c r="A934" s="134"/>
      <c r="B934" s="145"/>
      <c r="C934" s="145"/>
      <c r="D934" s="145"/>
      <c r="E934" s="13"/>
      <c r="F934" s="13"/>
      <c r="G934" s="144"/>
      <c r="H934" s="13"/>
      <c r="I934" s="13"/>
      <c r="J934" s="13"/>
      <c r="K934" s="13"/>
      <c r="L934" s="13"/>
      <c r="M934" s="13"/>
      <c r="N934" s="146"/>
      <c r="O934" s="13"/>
      <c r="P934" s="146"/>
      <c r="R934" s="129"/>
      <c r="T934" s="13"/>
    </row>
    <row r="935" spans="1:20" ht="12.75" customHeight="1" x14ac:dyDescent="0.2">
      <c r="A935" s="134"/>
      <c r="B935" s="145"/>
      <c r="C935" s="145"/>
      <c r="D935" s="145"/>
      <c r="E935" s="13"/>
      <c r="F935" s="13"/>
      <c r="G935" s="144"/>
      <c r="H935" s="13"/>
      <c r="I935" s="13"/>
      <c r="J935" s="13"/>
      <c r="K935" s="13"/>
      <c r="L935" s="13"/>
      <c r="M935" s="13"/>
      <c r="N935" s="146"/>
      <c r="O935" s="13"/>
      <c r="P935" s="146"/>
      <c r="R935" s="129"/>
      <c r="T935" s="13"/>
    </row>
    <row r="936" spans="1:20" ht="12.75" customHeight="1" x14ac:dyDescent="0.2">
      <c r="A936" s="134"/>
      <c r="B936" s="145"/>
      <c r="C936" s="145"/>
      <c r="D936" s="145"/>
      <c r="E936" s="13"/>
      <c r="F936" s="13"/>
      <c r="G936" s="144"/>
      <c r="H936" s="13"/>
      <c r="I936" s="13"/>
      <c r="J936" s="13"/>
      <c r="K936" s="13"/>
      <c r="L936" s="13"/>
      <c r="M936" s="13"/>
      <c r="N936" s="146"/>
      <c r="O936" s="13"/>
      <c r="P936" s="146"/>
      <c r="R936" s="129"/>
      <c r="T936" s="13"/>
    </row>
    <row r="937" spans="1:20" ht="12.75" customHeight="1" x14ac:dyDescent="0.2">
      <c r="A937" s="134"/>
      <c r="B937" s="145"/>
      <c r="C937" s="145"/>
      <c r="D937" s="145"/>
      <c r="E937" s="13"/>
      <c r="F937" s="13"/>
      <c r="G937" s="144"/>
      <c r="H937" s="13"/>
      <c r="I937" s="13"/>
      <c r="J937" s="13"/>
      <c r="K937" s="13"/>
      <c r="L937" s="13"/>
      <c r="M937" s="13"/>
      <c r="N937" s="146"/>
      <c r="O937" s="13"/>
      <c r="P937" s="146"/>
      <c r="R937" s="129"/>
      <c r="T937" s="13"/>
    </row>
    <row r="938" spans="1:20" ht="12.75" customHeight="1" x14ac:dyDescent="0.2">
      <c r="A938" s="134"/>
      <c r="B938" s="145"/>
      <c r="C938" s="145"/>
      <c r="D938" s="145"/>
      <c r="E938" s="13"/>
      <c r="F938" s="13"/>
      <c r="G938" s="144"/>
      <c r="H938" s="13"/>
      <c r="I938" s="13"/>
      <c r="J938" s="13"/>
      <c r="K938" s="13"/>
      <c r="L938" s="13"/>
      <c r="M938" s="13"/>
      <c r="N938" s="146"/>
      <c r="O938" s="13"/>
      <c r="P938" s="146"/>
      <c r="R938" s="129"/>
      <c r="T938" s="13"/>
    </row>
    <row r="939" spans="1:20" ht="12.75" customHeight="1" x14ac:dyDescent="0.2">
      <c r="A939" s="134"/>
      <c r="B939" s="145"/>
      <c r="C939" s="145"/>
      <c r="D939" s="145"/>
      <c r="E939" s="13"/>
      <c r="F939" s="13"/>
      <c r="G939" s="144"/>
      <c r="H939" s="13"/>
      <c r="I939" s="13"/>
      <c r="J939" s="13"/>
      <c r="K939" s="13"/>
      <c r="L939" s="13"/>
      <c r="M939" s="13"/>
      <c r="N939" s="146"/>
      <c r="O939" s="13"/>
      <c r="P939" s="146"/>
      <c r="R939" s="129"/>
      <c r="T939" s="13"/>
    </row>
    <row r="940" spans="1:20" ht="12.75" customHeight="1" x14ac:dyDescent="0.2">
      <c r="A940" s="134"/>
      <c r="B940" s="145"/>
      <c r="C940" s="145"/>
      <c r="D940" s="145"/>
      <c r="E940" s="13"/>
      <c r="F940" s="13"/>
      <c r="G940" s="144"/>
      <c r="H940" s="13"/>
      <c r="I940" s="13"/>
      <c r="J940" s="13"/>
      <c r="K940" s="13"/>
      <c r="L940" s="13"/>
      <c r="M940" s="13"/>
      <c r="N940" s="146"/>
      <c r="O940" s="13"/>
      <c r="P940" s="146"/>
      <c r="R940" s="129"/>
      <c r="T940" s="13"/>
    </row>
    <row r="941" spans="1:20" ht="12.75" customHeight="1" x14ac:dyDescent="0.2">
      <c r="A941" s="134"/>
      <c r="B941" s="145"/>
      <c r="C941" s="145"/>
      <c r="D941" s="145"/>
      <c r="E941" s="13"/>
      <c r="F941" s="13"/>
      <c r="G941" s="144"/>
      <c r="H941" s="13"/>
      <c r="I941" s="13"/>
      <c r="J941" s="13"/>
      <c r="K941" s="13"/>
      <c r="L941" s="13"/>
      <c r="M941" s="13"/>
      <c r="N941" s="146"/>
      <c r="O941" s="13"/>
      <c r="P941" s="146"/>
      <c r="R941" s="129"/>
      <c r="T941" s="13"/>
    </row>
    <row r="942" spans="1:20" ht="12.75" customHeight="1" x14ac:dyDescent="0.2">
      <c r="A942" s="134"/>
      <c r="B942" s="145"/>
      <c r="C942" s="145"/>
      <c r="D942" s="145"/>
      <c r="E942" s="13"/>
      <c r="F942" s="13"/>
      <c r="G942" s="144"/>
      <c r="H942" s="13"/>
      <c r="I942" s="13"/>
      <c r="J942" s="13"/>
      <c r="K942" s="13"/>
      <c r="L942" s="13"/>
      <c r="M942" s="13"/>
      <c r="N942" s="146"/>
      <c r="O942" s="13"/>
      <c r="P942" s="146"/>
      <c r="R942" s="129"/>
      <c r="T942" s="13"/>
    </row>
    <row r="943" spans="1:20" ht="12.75" customHeight="1" x14ac:dyDescent="0.2">
      <c r="A943" s="134"/>
      <c r="B943" s="145"/>
      <c r="C943" s="145"/>
      <c r="D943" s="145"/>
      <c r="E943" s="13"/>
      <c r="F943" s="13"/>
      <c r="G943" s="144"/>
      <c r="H943" s="13"/>
      <c r="I943" s="13"/>
      <c r="J943" s="13"/>
      <c r="K943" s="13"/>
      <c r="L943" s="13"/>
      <c r="M943" s="13"/>
      <c r="N943" s="146"/>
      <c r="O943" s="13"/>
      <c r="P943" s="146"/>
      <c r="R943" s="129"/>
      <c r="T943" s="13"/>
    </row>
    <row r="944" spans="1:20" ht="12.75" customHeight="1" x14ac:dyDescent="0.2">
      <c r="A944" s="134"/>
      <c r="B944" s="145"/>
      <c r="C944" s="145"/>
      <c r="D944" s="145"/>
      <c r="E944" s="13"/>
      <c r="F944" s="13"/>
      <c r="G944" s="144"/>
      <c r="H944" s="13"/>
      <c r="I944" s="13"/>
      <c r="J944" s="13"/>
      <c r="K944" s="13"/>
      <c r="L944" s="13"/>
      <c r="M944" s="13"/>
      <c r="N944" s="146"/>
      <c r="O944" s="13"/>
      <c r="P944" s="146"/>
      <c r="R944" s="129"/>
      <c r="T944" s="13"/>
    </row>
    <row r="945" spans="1:20" ht="12.75" customHeight="1" x14ac:dyDescent="0.2">
      <c r="A945" s="134"/>
      <c r="B945" s="145"/>
      <c r="C945" s="145"/>
      <c r="D945" s="145"/>
      <c r="E945" s="13"/>
      <c r="F945" s="13"/>
      <c r="G945" s="144"/>
      <c r="H945" s="13"/>
      <c r="I945" s="13"/>
      <c r="J945" s="13"/>
      <c r="K945" s="13"/>
      <c r="L945" s="13"/>
      <c r="M945" s="13"/>
      <c r="N945" s="146"/>
      <c r="O945" s="13"/>
      <c r="P945" s="146"/>
      <c r="R945" s="129"/>
      <c r="T945" s="13"/>
    </row>
    <row r="946" spans="1:20" ht="12.75" customHeight="1" x14ac:dyDescent="0.2">
      <c r="A946" s="134"/>
      <c r="B946" s="145"/>
      <c r="C946" s="145"/>
      <c r="D946" s="145"/>
      <c r="E946" s="13"/>
      <c r="F946" s="13"/>
      <c r="G946" s="144"/>
      <c r="H946" s="13"/>
      <c r="I946" s="13"/>
      <c r="J946" s="13"/>
      <c r="K946" s="13"/>
      <c r="L946" s="13"/>
      <c r="M946" s="13"/>
      <c r="N946" s="146"/>
      <c r="O946" s="13"/>
      <c r="P946" s="146"/>
      <c r="R946" s="129"/>
      <c r="T946" s="13"/>
    </row>
    <row r="947" spans="1:20" ht="12.75" customHeight="1" x14ac:dyDescent="0.2">
      <c r="A947" s="134"/>
      <c r="B947" s="145"/>
      <c r="C947" s="145"/>
      <c r="D947" s="145"/>
      <c r="E947" s="13"/>
      <c r="F947" s="13"/>
      <c r="G947" s="144"/>
      <c r="H947" s="13"/>
      <c r="I947" s="13"/>
      <c r="J947" s="13"/>
      <c r="K947" s="13"/>
      <c r="L947" s="13"/>
      <c r="M947" s="13"/>
      <c r="N947" s="146"/>
      <c r="O947" s="13"/>
      <c r="P947" s="146"/>
      <c r="R947" s="129"/>
      <c r="T947" s="13"/>
    </row>
    <row r="948" spans="1:20" ht="12.75" customHeight="1" x14ac:dyDescent="0.2">
      <c r="A948" s="134"/>
      <c r="B948" s="145"/>
      <c r="C948" s="145"/>
      <c r="D948" s="145"/>
      <c r="E948" s="13"/>
      <c r="F948" s="13"/>
      <c r="G948" s="144"/>
      <c r="H948" s="13"/>
      <c r="I948" s="13"/>
      <c r="J948" s="13"/>
      <c r="K948" s="13"/>
      <c r="L948" s="13"/>
      <c r="M948" s="13"/>
      <c r="N948" s="146"/>
      <c r="O948" s="13"/>
      <c r="P948" s="146"/>
      <c r="R948" s="129"/>
      <c r="T948" s="13"/>
    </row>
    <row r="949" spans="1:20" ht="12.75" customHeight="1" x14ac:dyDescent="0.2">
      <c r="A949" s="134"/>
      <c r="B949" s="145"/>
      <c r="C949" s="145"/>
      <c r="D949" s="145"/>
      <c r="E949" s="13"/>
      <c r="F949" s="13"/>
      <c r="G949" s="144"/>
      <c r="H949" s="13"/>
      <c r="I949" s="13"/>
      <c r="J949" s="13"/>
      <c r="K949" s="13"/>
      <c r="L949" s="13"/>
      <c r="M949" s="13"/>
      <c r="N949" s="146"/>
      <c r="O949" s="13"/>
      <c r="P949" s="146"/>
      <c r="R949" s="129"/>
      <c r="T949" s="13"/>
    </row>
    <row r="950" spans="1:20" ht="12.75" customHeight="1" x14ac:dyDescent="0.2">
      <c r="A950" s="134"/>
      <c r="B950" s="145"/>
      <c r="C950" s="145"/>
      <c r="D950" s="145"/>
      <c r="E950" s="13"/>
      <c r="F950" s="13"/>
      <c r="G950" s="144"/>
      <c r="H950" s="13"/>
      <c r="I950" s="13"/>
      <c r="J950" s="13"/>
      <c r="K950" s="13"/>
      <c r="L950" s="13"/>
      <c r="M950" s="13"/>
      <c r="N950" s="146"/>
      <c r="O950" s="13"/>
      <c r="P950" s="146"/>
      <c r="R950" s="129"/>
      <c r="T950" s="13"/>
    </row>
    <row r="951" spans="1:20" ht="12.75" customHeight="1" x14ac:dyDescent="0.2">
      <c r="A951" s="134"/>
      <c r="B951" s="145"/>
      <c r="C951" s="145"/>
      <c r="D951" s="145"/>
      <c r="E951" s="13"/>
      <c r="F951" s="13"/>
      <c r="G951" s="144"/>
      <c r="H951" s="13"/>
      <c r="I951" s="13"/>
      <c r="J951" s="13"/>
      <c r="K951" s="13"/>
      <c r="L951" s="13"/>
      <c r="M951" s="13"/>
      <c r="N951" s="146"/>
      <c r="O951" s="13"/>
      <c r="P951" s="146"/>
      <c r="R951" s="129"/>
      <c r="T951" s="13"/>
    </row>
    <row r="952" spans="1:20" ht="12.75" customHeight="1" x14ac:dyDescent="0.2">
      <c r="A952" s="134"/>
      <c r="B952" s="145"/>
      <c r="C952" s="145"/>
      <c r="D952" s="145"/>
      <c r="E952" s="13"/>
      <c r="F952" s="13"/>
      <c r="G952" s="144"/>
      <c r="H952" s="13"/>
      <c r="I952" s="13"/>
      <c r="J952" s="13"/>
      <c r="K952" s="13"/>
      <c r="L952" s="13"/>
      <c r="M952" s="13"/>
      <c r="N952" s="146"/>
      <c r="O952" s="13"/>
      <c r="P952" s="146"/>
      <c r="R952" s="129"/>
      <c r="T952" s="13"/>
    </row>
    <row r="953" spans="1:20" ht="12.75" customHeight="1" x14ac:dyDescent="0.2">
      <c r="A953" s="134"/>
      <c r="B953" s="145"/>
      <c r="C953" s="145"/>
      <c r="D953" s="145"/>
      <c r="E953" s="13"/>
      <c r="F953" s="13"/>
      <c r="G953" s="144"/>
      <c r="H953" s="13"/>
      <c r="I953" s="13"/>
      <c r="J953" s="13"/>
      <c r="K953" s="13"/>
      <c r="L953" s="13"/>
      <c r="M953" s="13"/>
      <c r="N953" s="146"/>
      <c r="O953" s="13"/>
      <c r="P953" s="146"/>
      <c r="R953" s="129"/>
      <c r="T953" s="13"/>
    </row>
    <row r="954" spans="1:20" ht="12.75" customHeight="1" x14ac:dyDescent="0.2">
      <c r="A954" s="134"/>
      <c r="B954" s="145"/>
      <c r="C954" s="145"/>
      <c r="D954" s="145"/>
      <c r="E954" s="13"/>
      <c r="F954" s="13"/>
      <c r="G954" s="144"/>
      <c r="H954" s="13"/>
      <c r="I954" s="13"/>
      <c r="J954" s="13"/>
      <c r="K954" s="13"/>
      <c r="L954" s="13"/>
      <c r="M954" s="13"/>
      <c r="N954" s="146"/>
      <c r="O954" s="13"/>
      <c r="P954" s="146"/>
      <c r="R954" s="129"/>
      <c r="T954" s="13"/>
    </row>
    <row r="955" spans="1:20" ht="12.75" customHeight="1" x14ac:dyDescent="0.2">
      <c r="A955" s="134"/>
      <c r="B955" s="145"/>
      <c r="C955" s="145"/>
      <c r="D955" s="145"/>
      <c r="E955" s="13"/>
      <c r="F955" s="13"/>
      <c r="G955" s="144"/>
      <c r="H955" s="13"/>
      <c r="I955" s="13"/>
      <c r="J955" s="13"/>
      <c r="K955" s="13"/>
      <c r="L955" s="13"/>
      <c r="M955" s="13"/>
      <c r="N955" s="146"/>
      <c r="O955" s="13"/>
      <c r="P955" s="146"/>
      <c r="R955" s="129"/>
      <c r="T955" s="13"/>
    </row>
    <row r="956" spans="1:20" ht="12.75" customHeight="1" x14ac:dyDescent="0.2">
      <c r="A956" s="134"/>
      <c r="B956" s="145"/>
      <c r="C956" s="145"/>
      <c r="D956" s="145"/>
      <c r="E956" s="13"/>
      <c r="F956" s="13"/>
      <c r="G956" s="144"/>
      <c r="H956" s="13"/>
      <c r="I956" s="13"/>
      <c r="J956" s="13"/>
      <c r="K956" s="13"/>
      <c r="L956" s="13"/>
      <c r="M956" s="13"/>
      <c r="N956" s="146"/>
      <c r="O956" s="13"/>
      <c r="P956" s="146"/>
      <c r="R956" s="129"/>
      <c r="T956" s="13"/>
    </row>
    <row r="957" spans="1:20" ht="12.75" customHeight="1" x14ac:dyDescent="0.2">
      <c r="A957" s="134"/>
      <c r="B957" s="145"/>
      <c r="C957" s="145"/>
      <c r="D957" s="145"/>
      <c r="E957" s="13"/>
      <c r="F957" s="13"/>
      <c r="G957" s="144"/>
      <c r="H957" s="13"/>
      <c r="I957" s="13"/>
      <c r="J957" s="13"/>
      <c r="K957" s="13"/>
      <c r="L957" s="13"/>
      <c r="M957" s="13"/>
      <c r="N957" s="146"/>
      <c r="O957" s="13"/>
      <c r="P957" s="146"/>
      <c r="R957" s="129"/>
      <c r="T957" s="13"/>
    </row>
    <row r="958" spans="1:20" ht="12.75" customHeight="1" x14ac:dyDescent="0.2">
      <c r="A958" s="134"/>
      <c r="B958" s="145"/>
      <c r="C958" s="145"/>
      <c r="D958" s="145"/>
      <c r="E958" s="13"/>
      <c r="F958" s="13"/>
      <c r="G958" s="144"/>
      <c r="H958" s="13"/>
      <c r="I958" s="13"/>
      <c r="J958" s="13"/>
      <c r="K958" s="13"/>
      <c r="L958" s="13"/>
      <c r="M958" s="13"/>
      <c r="N958" s="146"/>
      <c r="O958" s="13"/>
      <c r="P958" s="146"/>
      <c r="R958" s="129"/>
      <c r="T958" s="13"/>
    </row>
    <row r="959" spans="1:20" ht="12.75" customHeight="1" x14ac:dyDescent="0.2">
      <c r="A959" s="134"/>
      <c r="B959" s="145"/>
      <c r="C959" s="145"/>
      <c r="D959" s="145"/>
      <c r="E959" s="13"/>
      <c r="F959" s="13"/>
      <c r="G959" s="144"/>
      <c r="H959" s="13"/>
      <c r="I959" s="13"/>
      <c r="J959" s="13"/>
      <c r="K959" s="13"/>
      <c r="L959" s="13"/>
      <c r="M959" s="13"/>
      <c r="N959" s="146"/>
      <c r="O959" s="13"/>
      <c r="P959" s="146"/>
      <c r="R959" s="129"/>
      <c r="T959" s="13"/>
    </row>
    <row r="960" spans="1:20" ht="12.75" customHeight="1" x14ac:dyDescent="0.2">
      <c r="A960" s="134"/>
      <c r="B960" s="145"/>
      <c r="C960" s="145"/>
      <c r="D960" s="145"/>
      <c r="E960" s="13"/>
      <c r="F960" s="13"/>
      <c r="G960" s="144"/>
      <c r="H960" s="13"/>
      <c r="I960" s="13"/>
      <c r="J960" s="13"/>
      <c r="K960" s="13"/>
      <c r="L960" s="13"/>
      <c r="M960" s="13"/>
      <c r="N960" s="146"/>
      <c r="O960" s="13"/>
      <c r="P960" s="146"/>
      <c r="R960" s="129"/>
      <c r="T960" s="13"/>
    </row>
    <row r="961" spans="1:20" ht="12.75" customHeight="1" x14ac:dyDescent="0.2">
      <c r="A961" s="134"/>
      <c r="B961" s="145"/>
      <c r="C961" s="145"/>
      <c r="D961" s="145"/>
      <c r="E961" s="13"/>
      <c r="F961" s="13"/>
      <c r="G961" s="144"/>
      <c r="H961" s="13"/>
      <c r="I961" s="13"/>
      <c r="J961" s="13"/>
      <c r="K961" s="13"/>
      <c r="L961" s="13"/>
      <c r="M961" s="13"/>
      <c r="N961" s="146"/>
      <c r="O961" s="13"/>
      <c r="P961" s="146"/>
      <c r="R961" s="129"/>
      <c r="T961" s="13"/>
    </row>
    <row r="962" spans="1:20" ht="12.75" customHeight="1" x14ac:dyDescent="0.2">
      <c r="A962" s="134"/>
      <c r="B962" s="145"/>
      <c r="C962" s="145"/>
      <c r="D962" s="145"/>
      <c r="E962" s="13"/>
      <c r="F962" s="13"/>
      <c r="G962" s="144"/>
      <c r="H962" s="13"/>
      <c r="I962" s="13"/>
      <c r="J962" s="13"/>
      <c r="K962" s="13"/>
      <c r="L962" s="13"/>
      <c r="M962" s="13"/>
      <c r="N962" s="146"/>
      <c r="O962" s="13"/>
      <c r="P962" s="146"/>
      <c r="R962" s="129"/>
      <c r="T962" s="13"/>
    </row>
    <row r="963" spans="1:20" ht="12.75" customHeight="1" x14ac:dyDescent="0.2">
      <c r="A963" s="134"/>
      <c r="B963" s="145"/>
      <c r="C963" s="145"/>
      <c r="D963" s="145"/>
      <c r="E963" s="13"/>
      <c r="F963" s="13"/>
      <c r="G963" s="144"/>
      <c r="H963" s="13"/>
      <c r="I963" s="13"/>
      <c r="J963" s="13"/>
      <c r="K963" s="13"/>
      <c r="L963" s="13"/>
      <c r="M963" s="13"/>
      <c r="N963" s="146"/>
      <c r="O963" s="13"/>
      <c r="P963" s="146"/>
      <c r="R963" s="129"/>
      <c r="T963" s="13"/>
    </row>
    <row r="964" spans="1:20" ht="12.75" customHeight="1" x14ac:dyDescent="0.2">
      <c r="A964" s="134"/>
      <c r="B964" s="145"/>
      <c r="C964" s="145"/>
      <c r="D964" s="145"/>
      <c r="E964" s="13"/>
      <c r="F964" s="13"/>
      <c r="G964" s="144"/>
      <c r="H964" s="13"/>
      <c r="I964" s="13"/>
      <c r="J964" s="13"/>
      <c r="K964" s="13"/>
      <c r="L964" s="13"/>
      <c r="M964" s="13"/>
      <c r="N964" s="146"/>
      <c r="O964" s="13"/>
      <c r="P964" s="146"/>
      <c r="R964" s="129"/>
      <c r="T964" s="13"/>
    </row>
    <row r="965" spans="1:20" ht="12.75" customHeight="1" x14ac:dyDescent="0.2">
      <c r="A965" s="134"/>
      <c r="B965" s="145"/>
      <c r="C965" s="145"/>
      <c r="D965" s="145"/>
      <c r="E965" s="13"/>
      <c r="F965" s="13"/>
      <c r="G965" s="144"/>
      <c r="H965" s="13"/>
      <c r="I965" s="13"/>
      <c r="J965" s="13"/>
      <c r="K965" s="13"/>
      <c r="L965" s="13"/>
      <c r="M965" s="13"/>
      <c r="N965" s="146"/>
      <c r="O965" s="13"/>
      <c r="P965" s="146"/>
      <c r="R965" s="129"/>
      <c r="T965" s="13"/>
    </row>
    <row r="966" spans="1:20" ht="12.75" customHeight="1" x14ac:dyDescent="0.2">
      <c r="A966" s="134"/>
      <c r="B966" s="145"/>
      <c r="C966" s="145"/>
      <c r="D966" s="145"/>
      <c r="E966" s="13"/>
      <c r="F966" s="13"/>
      <c r="G966" s="144"/>
      <c r="H966" s="13"/>
      <c r="I966" s="13"/>
      <c r="J966" s="13"/>
      <c r="K966" s="13"/>
      <c r="L966" s="13"/>
      <c r="M966" s="13"/>
      <c r="N966" s="146"/>
      <c r="O966" s="13"/>
      <c r="P966" s="146"/>
      <c r="R966" s="129"/>
      <c r="T966" s="13"/>
    </row>
    <row r="967" spans="1:20" ht="12.75" customHeight="1" x14ac:dyDescent="0.2">
      <c r="A967" s="134"/>
      <c r="B967" s="145"/>
      <c r="C967" s="145"/>
      <c r="D967" s="145"/>
      <c r="E967" s="13"/>
      <c r="F967" s="13"/>
      <c r="G967" s="144"/>
      <c r="H967" s="13"/>
      <c r="I967" s="13"/>
      <c r="J967" s="13"/>
      <c r="K967" s="13"/>
      <c r="L967" s="13"/>
      <c r="M967" s="13"/>
      <c r="N967" s="146"/>
      <c r="O967" s="13"/>
      <c r="P967" s="146"/>
      <c r="R967" s="129"/>
      <c r="T967" s="13"/>
    </row>
    <row r="968" spans="1:20" ht="12.75" customHeight="1" x14ac:dyDescent="0.2">
      <c r="A968" s="134"/>
      <c r="B968" s="145"/>
      <c r="C968" s="145"/>
      <c r="D968" s="145"/>
      <c r="E968" s="13"/>
      <c r="F968" s="13"/>
      <c r="G968" s="144"/>
      <c r="H968" s="13"/>
      <c r="I968" s="13"/>
      <c r="J968" s="13"/>
      <c r="K968" s="13"/>
      <c r="L968" s="13"/>
      <c r="M968" s="13"/>
      <c r="N968" s="146"/>
      <c r="O968" s="13"/>
      <c r="P968" s="146"/>
      <c r="R968" s="129"/>
      <c r="T968" s="13"/>
    </row>
    <row r="969" spans="1:20" ht="12.75" customHeight="1" x14ac:dyDescent="0.2">
      <c r="A969" s="134"/>
      <c r="B969" s="145"/>
      <c r="C969" s="145"/>
      <c r="D969" s="145"/>
      <c r="E969" s="13"/>
      <c r="F969" s="13"/>
      <c r="G969" s="144"/>
      <c r="H969" s="13"/>
      <c r="I969" s="13"/>
      <c r="J969" s="13"/>
      <c r="K969" s="13"/>
      <c r="L969" s="13"/>
      <c r="M969" s="13"/>
      <c r="N969" s="146"/>
      <c r="O969" s="13"/>
      <c r="P969" s="146"/>
      <c r="R969" s="129"/>
      <c r="T969" s="13"/>
    </row>
    <row r="970" spans="1:20" ht="12.75" customHeight="1" x14ac:dyDescent="0.2">
      <c r="A970" s="134"/>
      <c r="B970" s="145"/>
      <c r="C970" s="145"/>
      <c r="D970" s="145"/>
      <c r="E970" s="13"/>
      <c r="F970" s="13"/>
      <c r="G970" s="144"/>
      <c r="H970" s="13"/>
      <c r="I970" s="13"/>
      <c r="J970" s="13"/>
      <c r="K970" s="13"/>
      <c r="L970" s="13"/>
      <c r="M970" s="13"/>
      <c r="N970" s="146"/>
      <c r="O970" s="13"/>
      <c r="P970" s="146"/>
      <c r="R970" s="129"/>
      <c r="T970" s="13"/>
    </row>
    <row r="971" spans="1:20" ht="12.75" customHeight="1" x14ac:dyDescent="0.2">
      <c r="A971" s="134"/>
      <c r="B971" s="145"/>
      <c r="C971" s="145"/>
      <c r="D971" s="145"/>
      <c r="E971" s="13"/>
      <c r="F971" s="13"/>
      <c r="G971" s="144"/>
      <c r="H971" s="13"/>
      <c r="I971" s="13"/>
      <c r="J971" s="13"/>
      <c r="K971" s="13"/>
      <c r="L971" s="13"/>
      <c r="M971" s="13"/>
      <c r="N971" s="146"/>
      <c r="O971" s="13"/>
      <c r="P971" s="146"/>
      <c r="R971" s="129"/>
      <c r="T971" s="13"/>
    </row>
    <row r="972" spans="1:20" ht="12.75" customHeight="1" x14ac:dyDescent="0.2">
      <c r="A972" s="134"/>
      <c r="B972" s="145"/>
      <c r="C972" s="145"/>
      <c r="D972" s="145"/>
      <c r="E972" s="13"/>
      <c r="F972" s="13"/>
      <c r="G972" s="144"/>
      <c r="H972" s="13"/>
      <c r="I972" s="13"/>
      <c r="J972" s="13"/>
      <c r="K972" s="13"/>
      <c r="L972" s="13"/>
      <c r="M972" s="13"/>
      <c r="N972" s="146"/>
      <c r="O972" s="13"/>
      <c r="P972" s="146"/>
      <c r="R972" s="129"/>
      <c r="T972" s="13"/>
    </row>
    <row r="973" spans="1:20" ht="12.75" customHeight="1" x14ac:dyDescent="0.2">
      <c r="A973" s="134"/>
      <c r="B973" s="145"/>
      <c r="C973" s="145"/>
      <c r="D973" s="145"/>
      <c r="E973" s="13"/>
      <c r="F973" s="13"/>
      <c r="G973" s="144"/>
      <c r="H973" s="13"/>
      <c r="I973" s="13"/>
      <c r="J973" s="13"/>
      <c r="K973" s="13"/>
      <c r="L973" s="13"/>
      <c r="M973" s="13"/>
      <c r="N973" s="146"/>
      <c r="O973" s="13"/>
      <c r="P973" s="146"/>
      <c r="R973" s="129"/>
      <c r="T973" s="13"/>
    </row>
    <row r="974" spans="1:20" ht="12.75" customHeight="1" x14ac:dyDescent="0.2">
      <c r="A974" s="134"/>
      <c r="B974" s="145"/>
      <c r="C974" s="145"/>
      <c r="D974" s="145"/>
      <c r="E974" s="13"/>
      <c r="F974" s="13"/>
      <c r="G974" s="144"/>
      <c r="H974" s="13"/>
      <c r="I974" s="13"/>
      <c r="J974" s="13"/>
      <c r="K974" s="13"/>
      <c r="L974" s="13"/>
      <c r="M974" s="13"/>
      <c r="N974" s="146"/>
      <c r="O974" s="13"/>
      <c r="P974" s="146"/>
      <c r="R974" s="129"/>
      <c r="T974" s="13"/>
    </row>
    <row r="975" spans="1:20" ht="12.75" customHeight="1" x14ac:dyDescent="0.2">
      <c r="A975" s="134"/>
      <c r="B975" s="145"/>
      <c r="C975" s="145"/>
      <c r="D975" s="145"/>
      <c r="E975" s="13"/>
      <c r="F975" s="13"/>
      <c r="G975" s="144"/>
      <c r="H975" s="13"/>
      <c r="I975" s="13"/>
      <c r="J975" s="13"/>
      <c r="K975" s="13"/>
      <c r="L975" s="13"/>
      <c r="M975" s="13"/>
      <c r="N975" s="146"/>
      <c r="O975" s="13"/>
      <c r="P975" s="146"/>
      <c r="R975" s="129"/>
      <c r="T975" s="13"/>
    </row>
    <row r="976" spans="1:20" ht="12.75" customHeight="1" x14ac:dyDescent="0.2">
      <c r="A976" s="134"/>
      <c r="B976" s="145"/>
      <c r="C976" s="145"/>
      <c r="D976" s="145"/>
      <c r="E976" s="13"/>
      <c r="F976" s="13"/>
      <c r="G976" s="144"/>
      <c r="H976" s="13"/>
      <c r="I976" s="13"/>
      <c r="J976" s="13"/>
      <c r="K976" s="13"/>
      <c r="L976" s="13"/>
      <c r="M976" s="13"/>
      <c r="N976" s="146"/>
      <c r="O976" s="13"/>
      <c r="P976" s="146"/>
      <c r="R976" s="129"/>
      <c r="T976" s="13"/>
    </row>
    <row r="977" spans="1:20" ht="12.75" customHeight="1" x14ac:dyDescent="0.2">
      <c r="A977" s="134"/>
      <c r="B977" s="145"/>
      <c r="C977" s="145"/>
      <c r="D977" s="145"/>
      <c r="E977" s="13"/>
      <c r="F977" s="13"/>
      <c r="G977" s="144"/>
      <c r="H977" s="13"/>
      <c r="I977" s="13"/>
      <c r="J977" s="13"/>
      <c r="K977" s="13"/>
      <c r="L977" s="13"/>
      <c r="M977" s="13"/>
      <c r="N977" s="146"/>
      <c r="O977" s="13"/>
      <c r="P977" s="146"/>
      <c r="R977" s="129"/>
      <c r="T977" s="13"/>
    </row>
    <row r="978" spans="1:20" ht="12.75" customHeight="1" x14ac:dyDescent="0.2">
      <c r="A978" s="134"/>
      <c r="B978" s="145"/>
      <c r="C978" s="145"/>
      <c r="D978" s="145"/>
      <c r="E978" s="13"/>
      <c r="F978" s="13"/>
      <c r="G978" s="144"/>
      <c r="H978" s="13"/>
      <c r="I978" s="13"/>
      <c r="J978" s="13"/>
      <c r="K978" s="13"/>
      <c r="L978" s="13"/>
      <c r="M978" s="13"/>
      <c r="N978" s="146"/>
      <c r="O978" s="13"/>
      <c r="P978" s="146"/>
      <c r="R978" s="129"/>
      <c r="T978" s="13"/>
    </row>
    <row r="979" spans="1:20" ht="12.75" customHeight="1" x14ac:dyDescent="0.2">
      <c r="A979" s="134"/>
      <c r="B979" s="145"/>
      <c r="C979" s="145"/>
      <c r="D979" s="145"/>
      <c r="E979" s="13"/>
      <c r="F979" s="13"/>
      <c r="G979" s="144"/>
      <c r="H979" s="13"/>
      <c r="I979" s="13"/>
      <c r="J979" s="13"/>
      <c r="K979" s="13"/>
      <c r="L979" s="13"/>
      <c r="M979" s="13"/>
      <c r="N979" s="146"/>
      <c r="O979" s="13"/>
      <c r="P979" s="146"/>
      <c r="R979" s="129"/>
      <c r="T979" s="13"/>
    </row>
    <row r="980" spans="1:20" ht="12.75" customHeight="1" x14ac:dyDescent="0.2">
      <c r="A980" s="134"/>
      <c r="B980" s="145"/>
      <c r="C980" s="145"/>
      <c r="D980" s="145"/>
      <c r="E980" s="13"/>
      <c r="F980" s="13"/>
      <c r="G980" s="144"/>
      <c r="H980" s="13"/>
      <c r="I980" s="13"/>
      <c r="J980" s="13"/>
      <c r="K980" s="13"/>
      <c r="L980" s="13"/>
      <c r="M980" s="13"/>
      <c r="N980" s="146"/>
      <c r="O980" s="13"/>
      <c r="P980" s="146"/>
      <c r="R980" s="129"/>
      <c r="T980" s="13"/>
    </row>
    <row r="981" spans="1:20" ht="12.75" customHeight="1" x14ac:dyDescent="0.2">
      <c r="A981" s="134"/>
      <c r="B981" s="145"/>
      <c r="C981" s="145"/>
      <c r="D981" s="145"/>
      <c r="E981" s="13"/>
      <c r="F981" s="13"/>
      <c r="G981" s="144"/>
      <c r="H981" s="13"/>
      <c r="I981" s="13"/>
      <c r="J981" s="13"/>
      <c r="K981" s="13"/>
      <c r="L981" s="13"/>
      <c r="M981" s="13"/>
      <c r="N981" s="146"/>
      <c r="O981" s="13"/>
      <c r="P981" s="146"/>
      <c r="R981" s="129"/>
      <c r="T981" s="13"/>
    </row>
    <row r="982" spans="1:20" ht="12.75" customHeight="1" x14ac:dyDescent="0.2">
      <c r="A982" s="134"/>
      <c r="B982" s="145"/>
      <c r="C982" s="145"/>
      <c r="D982" s="145"/>
      <c r="E982" s="13"/>
      <c r="F982" s="13"/>
      <c r="G982" s="144"/>
      <c r="H982" s="13"/>
      <c r="I982" s="13"/>
      <c r="J982" s="13"/>
      <c r="K982" s="13"/>
      <c r="L982" s="13"/>
      <c r="M982" s="13"/>
      <c r="N982" s="146"/>
      <c r="O982" s="13"/>
      <c r="P982" s="146"/>
      <c r="R982" s="129"/>
      <c r="T982" s="13"/>
    </row>
    <row r="983" spans="1:20" ht="12.75" customHeight="1" x14ac:dyDescent="0.2">
      <c r="A983" s="134"/>
      <c r="B983" s="145"/>
      <c r="C983" s="145"/>
      <c r="D983" s="145"/>
      <c r="E983" s="13"/>
      <c r="F983" s="13"/>
      <c r="G983" s="144"/>
      <c r="H983" s="13"/>
      <c r="I983" s="13"/>
      <c r="J983" s="13"/>
      <c r="K983" s="13"/>
      <c r="L983" s="13"/>
      <c r="M983" s="13"/>
      <c r="N983" s="146"/>
      <c r="O983" s="13"/>
      <c r="P983" s="146"/>
      <c r="R983" s="129"/>
      <c r="T983" s="13"/>
    </row>
    <row r="984" spans="1:20" ht="12.75" customHeight="1" x14ac:dyDescent="0.2">
      <c r="A984" s="134"/>
      <c r="B984" s="145"/>
      <c r="C984" s="145"/>
      <c r="D984" s="145"/>
      <c r="E984" s="13"/>
      <c r="F984" s="13"/>
      <c r="G984" s="144"/>
      <c r="H984" s="13"/>
      <c r="I984" s="13"/>
      <c r="J984" s="13"/>
      <c r="K984" s="13"/>
      <c r="L984" s="13"/>
      <c r="M984" s="13"/>
      <c r="N984" s="146"/>
      <c r="O984" s="13"/>
      <c r="P984" s="146"/>
      <c r="R984" s="129"/>
      <c r="T984" s="13"/>
    </row>
    <row r="985" spans="1:20" ht="12.75" customHeight="1" x14ac:dyDescent="0.2">
      <c r="A985" s="134"/>
      <c r="B985" s="145"/>
      <c r="C985" s="145"/>
      <c r="D985" s="145"/>
      <c r="E985" s="13"/>
      <c r="F985" s="13"/>
      <c r="G985" s="144"/>
      <c r="H985" s="13"/>
      <c r="I985" s="13"/>
      <c r="J985" s="13"/>
      <c r="K985" s="13"/>
      <c r="L985" s="13"/>
      <c r="M985" s="13"/>
      <c r="N985" s="146"/>
      <c r="O985" s="13"/>
      <c r="P985" s="146"/>
      <c r="R985" s="129"/>
      <c r="T985" s="13"/>
    </row>
    <row r="986" spans="1:20" ht="12.75" customHeight="1" x14ac:dyDescent="0.2">
      <c r="A986" s="134"/>
      <c r="B986" s="145"/>
      <c r="C986" s="145"/>
      <c r="D986" s="145"/>
      <c r="E986" s="13"/>
      <c r="F986" s="13"/>
      <c r="G986" s="144"/>
      <c r="H986" s="13"/>
      <c r="I986" s="13"/>
      <c r="J986" s="13"/>
      <c r="K986" s="13"/>
      <c r="L986" s="13"/>
      <c r="M986" s="13"/>
      <c r="N986" s="146"/>
      <c r="O986" s="13"/>
      <c r="P986" s="146"/>
      <c r="R986" s="129"/>
      <c r="T986" s="13"/>
    </row>
    <row r="987" spans="1:20" ht="12.75" customHeight="1" x14ac:dyDescent="0.2">
      <c r="A987" s="134"/>
      <c r="B987" s="145"/>
      <c r="C987" s="145"/>
      <c r="D987" s="145"/>
      <c r="E987" s="13"/>
      <c r="F987" s="13"/>
      <c r="G987" s="144"/>
      <c r="H987" s="13"/>
      <c r="I987" s="13"/>
      <c r="J987" s="13"/>
      <c r="K987" s="13"/>
      <c r="L987" s="13"/>
      <c r="M987" s="13"/>
      <c r="N987" s="146"/>
      <c r="O987" s="13"/>
      <c r="P987" s="146"/>
      <c r="R987" s="129"/>
      <c r="T987" s="13"/>
    </row>
    <row r="988" spans="1:20" ht="12.75" customHeight="1" x14ac:dyDescent="0.2">
      <c r="A988" s="134"/>
      <c r="B988" s="145"/>
      <c r="C988" s="145"/>
      <c r="D988" s="145"/>
      <c r="E988" s="13"/>
      <c r="F988" s="13"/>
      <c r="G988" s="144"/>
      <c r="H988" s="13"/>
      <c r="I988" s="13"/>
      <c r="J988" s="13"/>
      <c r="K988" s="13"/>
      <c r="L988" s="13"/>
      <c r="M988" s="13"/>
      <c r="N988" s="146"/>
      <c r="O988" s="13"/>
      <c r="P988" s="146"/>
      <c r="R988" s="129"/>
      <c r="T988" s="13"/>
    </row>
    <row r="989" spans="1:20" ht="12.75" customHeight="1" x14ac:dyDescent="0.2">
      <c r="A989" s="134"/>
      <c r="B989" s="145"/>
      <c r="C989" s="145"/>
      <c r="D989" s="145"/>
      <c r="E989" s="13"/>
      <c r="F989" s="13"/>
      <c r="G989" s="144"/>
      <c r="H989" s="13"/>
      <c r="I989" s="13"/>
      <c r="J989" s="13"/>
      <c r="K989" s="13"/>
      <c r="L989" s="13"/>
      <c r="M989" s="13"/>
      <c r="N989" s="146"/>
      <c r="O989" s="13"/>
      <c r="P989" s="146"/>
      <c r="R989" s="129"/>
      <c r="T989" s="13"/>
    </row>
    <row r="990" spans="1:20" ht="12.75" customHeight="1" x14ac:dyDescent="0.2">
      <c r="A990" s="134"/>
      <c r="B990" s="145"/>
      <c r="C990" s="145"/>
      <c r="D990" s="145"/>
      <c r="E990" s="13"/>
      <c r="F990" s="13"/>
      <c r="G990" s="144"/>
      <c r="H990" s="13"/>
      <c r="I990" s="13"/>
      <c r="J990" s="13"/>
      <c r="K990" s="13"/>
      <c r="L990" s="13"/>
      <c r="M990" s="13"/>
      <c r="N990" s="146"/>
      <c r="O990" s="13"/>
      <c r="P990" s="146"/>
      <c r="R990" s="129"/>
      <c r="T990" s="13"/>
    </row>
    <row r="991" spans="1:20" ht="12.75" customHeight="1" x14ac:dyDescent="0.2">
      <c r="A991" s="134"/>
      <c r="B991" s="145"/>
      <c r="C991" s="145"/>
      <c r="D991" s="145"/>
      <c r="E991" s="13"/>
      <c r="F991" s="13"/>
      <c r="G991" s="144"/>
      <c r="H991" s="13"/>
      <c r="I991" s="13"/>
      <c r="J991" s="13"/>
      <c r="K991" s="13"/>
      <c r="L991" s="13"/>
      <c r="M991" s="13"/>
      <c r="N991" s="146"/>
      <c r="O991" s="13"/>
      <c r="P991" s="146"/>
      <c r="R991" s="129"/>
      <c r="T991" s="13"/>
    </row>
    <row r="992" spans="1:20" ht="12.75" customHeight="1" x14ac:dyDescent="0.2">
      <c r="A992" s="134"/>
      <c r="B992" s="145"/>
      <c r="C992" s="145"/>
      <c r="D992" s="145"/>
      <c r="E992" s="13"/>
      <c r="F992" s="13"/>
      <c r="G992" s="144"/>
      <c r="H992" s="13"/>
      <c r="I992" s="13"/>
      <c r="J992" s="13"/>
      <c r="K992" s="13"/>
      <c r="L992" s="13"/>
      <c r="M992" s="13"/>
      <c r="N992" s="146"/>
      <c r="O992" s="13"/>
      <c r="P992" s="146"/>
      <c r="R992" s="129"/>
      <c r="T992" s="13"/>
    </row>
    <row r="993" spans="1:20" ht="12.75" customHeight="1" x14ac:dyDescent="0.2">
      <c r="A993" s="134"/>
      <c r="B993" s="145"/>
      <c r="C993" s="145"/>
      <c r="D993" s="145"/>
      <c r="E993" s="13"/>
      <c r="F993" s="13"/>
      <c r="G993" s="144"/>
      <c r="H993" s="13"/>
      <c r="I993" s="13"/>
      <c r="J993" s="13"/>
      <c r="K993" s="13"/>
      <c r="L993" s="13"/>
      <c r="M993" s="13"/>
      <c r="N993" s="146"/>
      <c r="O993" s="13"/>
      <c r="P993" s="146"/>
      <c r="R993" s="129"/>
      <c r="T993" s="13"/>
    </row>
    <row r="994" spans="1:20" ht="12.75" customHeight="1" x14ac:dyDescent="0.2">
      <c r="A994" s="134"/>
      <c r="B994" s="145"/>
      <c r="C994" s="145"/>
      <c r="D994" s="145"/>
      <c r="E994" s="13"/>
      <c r="F994" s="13"/>
      <c r="G994" s="144"/>
      <c r="H994" s="13"/>
      <c r="I994" s="13"/>
      <c r="J994" s="13"/>
      <c r="K994" s="13"/>
      <c r="L994" s="13"/>
      <c r="M994" s="13"/>
      <c r="N994" s="146"/>
      <c r="O994" s="13"/>
      <c r="P994" s="146"/>
      <c r="R994" s="129"/>
      <c r="T994" s="13"/>
    </row>
    <row r="995" spans="1:20" ht="12.75" customHeight="1" x14ac:dyDescent="0.2">
      <c r="A995" s="134"/>
      <c r="B995" s="145"/>
      <c r="C995" s="145"/>
      <c r="D995" s="145"/>
      <c r="E995" s="13"/>
      <c r="F995" s="13"/>
      <c r="G995" s="144"/>
      <c r="H995" s="13"/>
      <c r="I995" s="13"/>
      <c r="J995" s="13"/>
      <c r="K995" s="13"/>
      <c r="L995" s="13"/>
      <c r="M995" s="13"/>
      <c r="N995" s="146"/>
      <c r="O995" s="13"/>
      <c r="P995" s="146"/>
      <c r="R995" s="129"/>
      <c r="T995" s="13"/>
    </row>
    <row r="996" spans="1:20" ht="12.75" customHeight="1" x14ac:dyDescent="0.2">
      <c r="A996" s="134"/>
      <c r="B996" s="145"/>
      <c r="C996" s="145"/>
      <c r="D996" s="145"/>
      <c r="E996" s="13"/>
      <c r="F996" s="13"/>
      <c r="G996" s="144"/>
      <c r="H996" s="13"/>
      <c r="I996" s="13"/>
      <c r="J996" s="13"/>
      <c r="K996" s="13"/>
      <c r="L996" s="13"/>
      <c r="M996" s="13"/>
      <c r="N996" s="146"/>
      <c r="O996" s="13"/>
      <c r="P996" s="146"/>
      <c r="R996" s="129"/>
      <c r="T996" s="13"/>
    </row>
    <row r="997" spans="1:20" ht="12.75" customHeight="1" x14ac:dyDescent="0.2">
      <c r="A997" s="134"/>
      <c r="B997" s="145"/>
      <c r="C997" s="145"/>
      <c r="D997" s="145"/>
      <c r="E997" s="13"/>
      <c r="F997" s="13"/>
      <c r="G997" s="144"/>
      <c r="H997" s="13"/>
      <c r="I997" s="13"/>
      <c r="J997" s="13"/>
      <c r="K997" s="13"/>
      <c r="L997" s="13"/>
      <c r="M997" s="13"/>
      <c r="N997" s="146"/>
      <c r="O997" s="13"/>
      <c r="P997" s="146"/>
      <c r="R997" s="129"/>
      <c r="T997" s="13"/>
    </row>
    <row r="998" spans="1:20" ht="12.75" customHeight="1" x14ac:dyDescent="0.2">
      <c r="A998" s="134"/>
      <c r="B998" s="145"/>
      <c r="C998" s="145"/>
      <c r="D998" s="145"/>
      <c r="E998" s="13"/>
      <c r="F998" s="13"/>
      <c r="G998" s="144"/>
      <c r="H998" s="13"/>
      <c r="I998" s="13"/>
      <c r="J998" s="13"/>
      <c r="K998" s="13"/>
      <c r="L998" s="13"/>
      <c r="M998" s="13"/>
      <c r="N998" s="146"/>
      <c r="O998" s="13"/>
      <c r="P998" s="146"/>
      <c r="R998" s="129"/>
      <c r="T998" s="13"/>
    </row>
    <row r="999" spans="1:20" ht="12.75" customHeight="1" x14ac:dyDescent="0.2">
      <c r="A999" s="134"/>
      <c r="B999" s="145"/>
      <c r="C999" s="145"/>
      <c r="D999" s="145"/>
      <c r="E999" s="13"/>
      <c r="F999" s="13"/>
      <c r="G999" s="144"/>
      <c r="H999" s="13"/>
      <c r="I999" s="13"/>
      <c r="J999" s="13"/>
      <c r="K999" s="13"/>
      <c r="L999" s="13"/>
      <c r="M999" s="13"/>
      <c r="N999" s="146"/>
      <c r="O999" s="13"/>
      <c r="P999" s="146"/>
      <c r="R999" s="129"/>
      <c r="T999" s="13"/>
    </row>
    <row r="1000" spans="1:20" ht="12.75" customHeight="1" x14ac:dyDescent="0.2">
      <c r="A1000" s="134"/>
      <c r="B1000" s="145"/>
      <c r="C1000" s="145"/>
      <c r="D1000" s="145"/>
      <c r="E1000" s="13"/>
      <c r="F1000" s="13"/>
      <c r="G1000" s="144"/>
      <c r="H1000" s="13"/>
      <c r="I1000" s="13"/>
      <c r="J1000" s="13"/>
      <c r="K1000" s="13"/>
      <c r="L1000" s="13"/>
      <c r="M1000" s="13"/>
      <c r="N1000" s="146"/>
      <c r="O1000" s="13"/>
      <c r="P1000" s="146"/>
      <c r="R1000" s="129"/>
      <c r="T1000" s="13"/>
    </row>
    <row r="1001" spans="1:20" ht="12.75" customHeight="1" x14ac:dyDescent="0.2">
      <c r="A1001" s="134"/>
      <c r="B1001" s="145"/>
      <c r="C1001" s="145"/>
      <c r="D1001" s="145"/>
      <c r="E1001" s="13"/>
      <c r="F1001" s="13"/>
      <c r="G1001" s="144"/>
      <c r="H1001" s="13"/>
      <c r="I1001" s="13"/>
      <c r="J1001" s="13"/>
      <c r="K1001" s="13"/>
      <c r="L1001" s="13"/>
      <c r="M1001" s="13"/>
      <c r="N1001" s="146"/>
      <c r="O1001" s="13"/>
      <c r="P1001" s="146"/>
      <c r="R1001" s="129"/>
      <c r="T1001" s="13"/>
    </row>
    <row r="1002" spans="1:20" ht="12.75" customHeight="1" x14ac:dyDescent="0.2">
      <c r="A1002" s="134"/>
      <c r="B1002" s="145"/>
      <c r="C1002" s="145"/>
      <c r="D1002" s="145"/>
      <c r="E1002" s="13"/>
      <c r="F1002" s="13"/>
      <c r="G1002" s="144"/>
      <c r="H1002" s="13"/>
      <c r="I1002" s="13"/>
      <c r="J1002" s="13"/>
      <c r="K1002" s="13"/>
      <c r="L1002" s="13"/>
      <c r="M1002" s="13"/>
      <c r="N1002" s="146"/>
      <c r="O1002" s="13"/>
      <c r="P1002" s="146"/>
      <c r="R1002" s="129"/>
      <c r="T1002" s="13"/>
    </row>
    <row r="1003" spans="1:20" ht="12.75" customHeight="1" x14ac:dyDescent="0.2">
      <c r="A1003" s="134"/>
      <c r="B1003" s="145"/>
      <c r="C1003" s="145"/>
      <c r="D1003" s="145"/>
      <c r="E1003" s="13"/>
      <c r="F1003" s="13"/>
      <c r="G1003" s="144"/>
      <c r="H1003" s="13"/>
      <c r="I1003" s="13"/>
      <c r="J1003" s="13"/>
      <c r="K1003" s="13"/>
      <c r="L1003" s="13"/>
      <c r="M1003" s="13"/>
      <c r="N1003" s="146"/>
      <c r="O1003" s="13"/>
      <c r="P1003" s="146"/>
      <c r="R1003" s="129"/>
      <c r="T1003" s="13"/>
    </row>
    <row r="1004" spans="1:20" ht="12.75" customHeight="1" x14ac:dyDescent="0.2">
      <c r="A1004" s="134"/>
      <c r="B1004" s="145"/>
      <c r="C1004" s="145"/>
      <c r="D1004" s="145"/>
      <c r="E1004" s="13"/>
      <c r="F1004" s="13"/>
      <c r="G1004" s="144"/>
      <c r="H1004" s="13"/>
      <c r="I1004" s="13"/>
      <c r="J1004" s="13"/>
      <c r="K1004" s="13"/>
      <c r="L1004" s="13"/>
      <c r="M1004" s="13"/>
      <c r="N1004" s="146"/>
      <c r="O1004" s="13"/>
      <c r="P1004" s="146"/>
      <c r="R1004" s="129"/>
      <c r="T1004" s="13"/>
    </row>
    <row r="1005" spans="1:20" ht="12.75" customHeight="1" x14ac:dyDescent="0.2">
      <c r="A1005" s="134"/>
      <c r="B1005" s="145"/>
      <c r="C1005" s="145"/>
      <c r="D1005" s="145"/>
      <c r="E1005" s="13"/>
      <c r="F1005" s="13"/>
      <c r="G1005" s="144"/>
      <c r="H1005" s="13"/>
      <c r="I1005" s="13"/>
      <c r="J1005" s="13"/>
      <c r="K1005" s="13"/>
      <c r="L1005" s="13"/>
      <c r="M1005" s="13"/>
      <c r="N1005" s="146"/>
      <c r="O1005" s="13"/>
      <c r="P1005" s="146"/>
      <c r="R1005" s="129"/>
      <c r="T1005" s="13"/>
    </row>
    <row r="1006" spans="1:20" ht="12.75" customHeight="1" x14ac:dyDescent="0.2">
      <c r="A1006" s="134"/>
      <c r="B1006" s="145"/>
      <c r="C1006" s="145"/>
      <c r="D1006" s="145"/>
      <c r="E1006" s="13"/>
      <c r="F1006" s="13"/>
      <c r="G1006" s="144"/>
      <c r="H1006" s="13"/>
      <c r="I1006" s="13"/>
      <c r="J1006" s="13"/>
      <c r="K1006" s="13"/>
      <c r="L1006" s="13"/>
      <c r="M1006" s="13"/>
      <c r="N1006" s="146"/>
      <c r="O1006" s="13"/>
      <c r="P1006" s="146"/>
      <c r="R1006" s="129"/>
      <c r="T1006" s="13"/>
    </row>
    <row r="1007" spans="1:20" ht="12.75" customHeight="1" x14ac:dyDescent="0.2">
      <c r="A1007" s="134"/>
      <c r="B1007" s="145"/>
      <c r="C1007" s="145"/>
      <c r="D1007" s="145"/>
      <c r="E1007" s="13"/>
      <c r="F1007" s="13"/>
      <c r="G1007" s="144"/>
      <c r="H1007" s="13"/>
      <c r="I1007" s="13"/>
      <c r="J1007" s="13"/>
      <c r="K1007" s="13"/>
      <c r="L1007" s="13"/>
      <c r="M1007" s="13"/>
      <c r="N1007" s="146"/>
      <c r="O1007" s="13"/>
      <c r="P1007" s="146"/>
      <c r="R1007" s="129"/>
      <c r="T1007" s="13"/>
    </row>
    <row r="1008" spans="1:20" ht="12.75" customHeight="1" x14ac:dyDescent="0.2">
      <c r="A1008" s="134"/>
      <c r="B1008" s="145"/>
      <c r="C1008" s="145"/>
      <c r="D1008" s="145"/>
      <c r="E1008" s="13"/>
      <c r="F1008" s="13"/>
      <c r="G1008" s="144"/>
      <c r="H1008" s="13"/>
      <c r="I1008" s="13"/>
      <c r="J1008" s="13"/>
      <c r="K1008" s="13"/>
      <c r="L1008" s="13"/>
      <c r="M1008" s="13"/>
      <c r="N1008" s="146"/>
      <c r="O1008" s="13"/>
      <c r="P1008" s="146"/>
      <c r="R1008" s="129"/>
      <c r="T1008" s="13"/>
    </row>
    <row r="1009" spans="1:20" ht="12.75" customHeight="1" x14ac:dyDescent="0.2">
      <c r="A1009" s="134"/>
      <c r="B1009" s="145"/>
      <c r="C1009" s="145"/>
      <c r="D1009" s="145"/>
      <c r="E1009" s="13"/>
      <c r="F1009" s="13"/>
      <c r="G1009" s="144"/>
      <c r="H1009" s="13"/>
      <c r="I1009" s="13"/>
      <c r="J1009" s="13"/>
      <c r="K1009" s="13"/>
      <c r="L1009" s="13"/>
      <c r="M1009" s="13"/>
      <c r="N1009" s="146"/>
      <c r="O1009" s="13"/>
      <c r="P1009" s="146"/>
      <c r="R1009" s="129"/>
      <c r="T1009" s="13"/>
    </row>
    <row r="1010" spans="1:20" ht="12.75" customHeight="1" x14ac:dyDescent="0.2">
      <c r="A1010" s="134"/>
      <c r="B1010" s="145"/>
      <c r="C1010" s="145"/>
      <c r="D1010" s="145"/>
      <c r="E1010" s="13"/>
      <c r="F1010" s="13"/>
      <c r="G1010" s="144"/>
      <c r="H1010" s="13"/>
      <c r="I1010" s="13"/>
      <c r="J1010" s="13"/>
      <c r="K1010" s="13"/>
      <c r="L1010" s="13"/>
      <c r="M1010" s="13"/>
      <c r="N1010" s="146"/>
      <c r="O1010" s="13"/>
      <c r="P1010" s="146"/>
      <c r="R1010" s="129"/>
      <c r="T1010" s="13"/>
    </row>
    <row r="1011" spans="1:20" ht="12.75" customHeight="1" x14ac:dyDescent="0.2">
      <c r="A1011" s="134"/>
      <c r="B1011" s="145"/>
      <c r="C1011" s="145"/>
      <c r="D1011" s="145"/>
      <c r="E1011" s="13"/>
      <c r="F1011" s="13"/>
      <c r="G1011" s="144"/>
      <c r="H1011" s="13"/>
      <c r="I1011" s="13"/>
      <c r="J1011" s="13"/>
      <c r="K1011" s="13"/>
      <c r="L1011" s="13"/>
      <c r="M1011" s="13"/>
      <c r="N1011" s="146"/>
      <c r="O1011" s="13"/>
      <c r="P1011" s="146"/>
      <c r="R1011" s="129"/>
      <c r="T1011" s="13"/>
    </row>
    <row r="1012" spans="1:20" ht="12.75" customHeight="1" x14ac:dyDescent="0.2">
      <c r="A1012" s="134"/>
      <c r="B1012" s="145"/>
      <c r="C1012" s="145"/>
      <c r="D1012" s="145"/>
      <c r="E1012" s="13"/>
      <c r="F1012" s="13"/>
      <c r="G1012" s="144"/>
      <c r="H1012" s="13"/>
      <c r="I1012" s="13"/>
      <c r="J1012" s="13"/>
      <c r="K1012" s="13"/>
      <c r="L1012" s="13"/>
      <c r="M1012" s="13"/>
      <c r="N1012" s="146"/>
      <c r="O1012" s="13"/>
      <c r="P1012" s="146"/>
      <c r="R1012" s="129"/>
      <c r="T1012" s="13"/>
    </row>
  </sheetData>
  <autoFilter ref="A3:X127" xr:uid="{00000000-0009-0000-0000-000000000000}"/>
  <mergeCells count="23">
    <mergeCell ref="A58:Q58"/>
    <mergeCell ref="A77:Q77"/>
    <mergeCell ref="A23:B23"/>
    <mergeCell ref="A30:B30"/>
    <mergeCell ref="A37:B37"/>
    <mergeCell ref="A47:B47"/>
    <mergeCell ref="A56:B56"/>
    <mergeCell ref="A102:P102"/>
    <mergeCell ref="A103:P103"/>
    <mergeCell ref="B111:L111"/>
    <mergeCell ref="A1:M2"/>
    <mergeCell ref="N1:O2"/>
    <mergeCell ref="P1:P2"/>
    <mergeCell ref="A6:Q6"/>
    <mergeCell ref="A11:B11"/>
    <mergeCell ref="A13:Q13"/>
    <mergeCell ref="A25:Q25"/>
    <mergeCell ref="A75:B75"/>
    <mergeCell ref="A99:B99"/>
    <mergeCell ref="A101:B101"/>
    <mergeCell ref="A32:Q32"/>
    <mergeCell ref="A39:Q39"/>
    <mergeCell ref="A48:Q48"/>
  </mergeCells>
  <printOptions horizontalCentered="1"/>
  <pageMargins left="0" right="0" top="0" bottom="0" header="0" footer="0"/>
  <pageSetup paperSize="9" scale="78" fitToHeight="0" orientation="landscape" r:id="rId1"/>
  <rowBreaks count="2" manualBreakCount="2">
    <brk id="38" max="16" man="1"/>
    <brk id="57" max="16" man="1"/>
  </rowBreaks>
  <colBreaks count="2" manualBreakCount="2">
    <brk id="17" max="1048575" man="1"/>
    <brk id="1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1086"/>
  <sheetViews>
    <sheetView tabSelected="1" view="pageBreakPreview" topLeftCell="A129" zoomScale="102" zoomScaleNormal="92" zoomScaleSheetLayoutView="102" workbookViewId="0">
      <selection activeCell="A142" sqref="A142:L155"/>
    </sheetView>
  </sheetViews>
  <sheetFormatPr defaultColWidth="12.7109375" defaultRowHeight="15" customHeight="1" x14ac:dyDescent="0.2"/>
  <cols>
    <col min="1" max="1" width="1" customWidth="1"/>
    <col min="2" max="2" width="16.7109375" customWidth="1"/>
    <col min="3" max="3" width="13.7109375" customWidth="1"/>
    <col min="4" max="4" width="0.28515625" customWidth="1"/>
    <col min="5" max="5" width="0.85546875" customWidth="1"/>
    <col min="6" max="6" width="22" customWidth="1"/>
    <col min="7" max="7" width="12" customWidth="1"/>
    <col min="8" max="8" width="2.140625" customWidth="1"/>
    <col min="9" max="9" width="7.140625" customWidth="1"/>
    <col min="10" max="10" width="18.42578125" customWidth="1"/>
    <col min="11" max="11" width="13.28515625" customWidth="1"/>
    <col min="12" max="12" width="1.28515625" customWidth="1"/>
    <col min="13" max="13" width="1" customWidth="1"/>
    <col min="14" max="14" width="1.7109375" customWidth="1"/>
    <col min="15" max="15" width="9.7109375" customWidth="1"/>
    <col min="16" max="16" width="9" customWidth="1"/>
    <col min="17" max="17" width="8.28515625" customWidth="1"/>
    <col min="18" max="18" width="23.28515625" customWidth="1"/>
    <col min="19" max="19" width="1.28515625" customWidth="1"/>
    <col min="20" max="20" width="9.28515625" customWidth="1"/>
    <col min="21" max="21" width="14.7109375" customWidth="1"/>
    <col min="22" max="22" width="12.7109375" customWidth="1"/>
    <col min="23" max="23" width="12.85546875" customWidth="1"/>
    <col min="24" max="24" width="13.28515625" customWidth="1"/>
    <col min="25" max="25" width="15.42578125" bestFit="1" customWidth="1"/>
    <col min="26" max="26" width="1.7109375" customWidth="1"/>
    <col min="27" max="27" width="8.28515625" customWidth="1"/>
    <col min="28" max="29" width="12.7109375" customWidth="1"/>
  </cols>
  <sheetData>
    <row r="1" spans="1:30" ht="18.75" customHeight="1" x14ac:dyDescent="0.3">
      <c r="A1" s="147"/>
      <c r="B1" s="147"/>
      <c r="C1" s="562" t="s">
        <v>83</v>
      </c>
      <c r="D1" s="531"/>
      <c r="E1" s="531"/>
      <c r="F1" s="531"/>
      <c r="G1" s="531"/>
      <c r="H1" s="531"/>
      <c r="I1" s="531"/>
      <c r="J1" s="148" t="s">
        <v>331</v>
      </c>
      <c r="K1" s="149">
        <v>2024</v>
      </c>
      <c r="L1" s="149"/>
      <c r="M1" s="150"/>
      <c r="N1" s="150"/>
      <c r="O1" s="150"/>
      <c r="P1" s="150"/>
      <c r="Q1" s="150"/>
      <c r="R1" s="151"/>
      <c r="S1" s="150"/>
      <c r="T1" s="150"/>
      <c r="U1" s="152"/>
      <c r="V1" s="150"/>
      <c r="W1" s="150"/>
      <c r="X1" s="150"/>
      <c r="Y1" s="150"/>
      <c r="Z1" s="150"/>
      <c r="AA1" s="150"/>
      <c r="AB1" s="150"/>
      <c r="AC1" s="150"/>
    </row>
    <row r="2" spans="1:30" ht="18.75" customHeight="1" x14ac:dyDescent="0.3">
      <c r="A2" s="147"/>
      <c r="B2" s="147"/>
      <c r="C2" s="147"/>
      <c r="D2" s="147"/>
      <c r="E2" s="147"/>
      <c r="F2" s="147"/>
      <c r="G2" s="147"/>
      <c r="H2" s="147"/>
      <c r="I2" s="147"/>
      <c r="J2" s="153" t="s">
        <v>85</v>
      </c>
      <c r="K2" s="147">
        <v>30</v>
      </c>
      <c r="L2" s="147"/>
      <c r="M2" s="150"/>
      <c r="N2" s="150"/>
      <c r="O2" s="150"/>
      <c r="P2" s="150"/>
      <c r="Q2" s="150"/>
      <c r="R2" s="152"/>
      <c r="S2" s="150"/>
      <c r="T2" s="150"/>
      <c r="U2" s="152"/>
      <c r="V2" s="150"/>
      <c r="W2" s="150"/>
      <c r="X2" s="150"/>
      <c r="Y2" s="150"/>
      <c r="Z2" s="150"/>
      <c r="AA2" s="150"/>
      <c r="AB2" s="150"/>
      <c r="AC2" s="150"/>
    </row>
    <row r="3" spans="1:30" ht="18.75" customHeight="1" x14ac:dyDescent="0.3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4"/>
      <c r="X3" s="155"/>
      <c r="Y3" s="150"/>
      <c r="Z3" s="150"/>
      <c r="AA3" s="150"/>
      <c r="AB3" s="150"/>
      <c r="AC3" s="150"/>
    </row>
    <row r="4" spans="1:30" ht="21" customHeight="1" x14ac:dyDescent="0.2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4"/>
      <c r="N4" s="156"/>
      <c r="O4" s="156"/>
      <c r="P4" s="156"/>
      <c r="Q4" s="156"/>
      <c r="R4" s="157"/>
      <c r="S4" s="156"/>
      <c r="T4" s="156"/>
      <c r="U4" s="157"/>
      <c r="V4" s="156"/>
      <c r="W4" s="156" t="s">
        <v>86</v>
      </c>
      <c r="X4" s="155">
        <f>Y5-Y4</f>
        <v>27069.999999999534</v>
      </c>
      <c r="Y4" s="478">
        <f>K17+K32+K47+K62+K77+K92+K107+K122+K137+K152+K167+K182+K212+K241+K256+K271+K286+K301+K316+K331+K346+K361+K376+K391+K407+K422+K437+K452+K467+K482+K497+K504+K527+K557+K572+K587+K603+K618+K633+K649+K197+K666+K681+K696+K712+K728+K743+K758+K775+K791+K807+K823+K839+K871+K887+K903+K919+K935+K951+K967+K983+K1034+K1050+K1066+K227+K1082</f>
        <v>2915425.0000000005</v>
      </c>
      <c r="Z4" s="156"/>
      <c r="AA4" s="154"/>
      <c r="AB4" s="154"/>
      <c r="AC4" s="154"/>
    </row>
    <row r="5" spans="1:30" ht="21" customHeight="1" x14ac:dyDescent="0.2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54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479">
        <v>2942495</v>
      </c>
      <c r="Z5" s="156"/>
      <c r="AA5" s="154"/>
      <c r="AB5" s="154"/>
      <c r="AC5" s="154"/>
    </row>
    <row r="6" spans="1:30" ht="21" customHeight="1" x14ac:dyDescent="0.2">
      <c r="A6" s="149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58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8"/>
      <c r="AB6" s="158"/>
      <c r="AC6" s="158"/>
    </row>
    <row r="7" spans="1:30" ht="19.149999999999999" customHeight="1" thickBot="1" x14ac:dyDescent="0.25">
      <c r="A7" s="532" t="s">
        <v>87</v>
      </c>
      <c r="B7" s="533"/>
      <c r="C7" s="533"/>
      <c r="D7" s="533"/>
      <c r="E7" s="533"/>
      <c r="F7" s="533"/>
      <c r="G7" s="533"/>
      <c r="H7" s="533"/>
      <c r="I7" s="533"/>
      <c r="J7" s="533"/>
      <c r="K7" s="533"/>
      <c r="L7" s="534"/>
      <c r="M7" s="159"/>
      <c r="N7" s="160"/>
      <c r="O7" s="524" t="s">
        <v>88</v>
      </c>
      <c r="P7" s="525"/>
      <c r="Q7" s="525"/>
      <c r="R7" s="526"/>
      <c r="S7" s="161"/>
      <c r="T7" s="524" t="s">
        <v>89</v>
      </c>
      <c r="U7" s="525"/>
      <c r="V7" s="525"/>
      <c r="W7" s="525"/>
      <c r="X7" s="525"/>
      <c r="Y7" s="526"/>
      <c r="Z7" s="162"/>
      <c r="AA7" s="159"/>
      <c r="AB7" s="158"/>
      <c r="AC7" s="158"/>
    </row>
    <row r="8" spans="1:30" ht="19.149999999999999" customHeight="1" x14ac:dyDescent="0.2">
      <c r="A8" s="163"/>
      <c r="B8" s="149"/>
      <c r="C8" s="535" t="s">
        <v>309</v>
      </c>
      <c r="D8" s="531"/>
      <c r="E8" s="531"/>
      <c r="F8" s="531"/>
      <c r="G8" s="164" t="str">
        <f>$J$1</f>
        <v>September</v>
      </c>
      <c r="H8" s="536">
        <f>$K$1</f>
        <v>2024</v>
      </c>
      <c r="I8" s="531"/>
      <c r="J8" s="149"/>
      <c r="K8" s="165"/>
      <c r="L8" s="166"/>
      <c r="M8" s="167"/>
      <c r="N8" s="168"/>
      <c r="O8" s="169" t="s">
        <v>91</v>
      </c>
      <c r="P8" s="169" t="s">
        <v>92</v>
      </c>
      <c r="Q8" s="169" t="s">
        <v>93</v>
      </c>
      <c r="R8" s="169" t="s">
        <v>94</v>
      </c>
      <c r="S8" s="170"/>
      <c r="T8" s="169" t="s">
        <v>91</v>
      </c>
      <c r="U8" s="169" t="s">
        <v>95</v>
      </c>
      <c r="V8" s="169" t="s">
        <v>9</v>
      </c>
      <c r="W8" s="169" t="s">
        <v>10</v>
      </c>
      <c r="X8" s="169" t="s">
        <v>11</v>
      </c>
      <c r="Y8" s="169" t="s">
        <v>96</v>
      </c>
      <c r="Z8" s="171"/>
      <c r="AA8" s="167"/>
      <c r="AB8" s="158"/>
      <c r="AC8" s="158"/>
    </row>
    <row r="9" spans="1:30" ht="19.149999999999999" customHeight="1" x14ac:dyDescent="0.2">
      <c r="A9" s="163"/>
      <c r="B9" s="149"/>
      <c r="C9" s="149"/>
      <c r="D9" s="172"/>
      <c r="E9" s="172"/>
      <c r="F9" s="172"/>
      <c r="G9" s="172"/>
      <c r="H9" s="172"/>
      <c r="I9" s="149"/>
      <c r="J9" s="173" t="s">
        <v>97</v>
      </c>
      <c r="K9" s="151">
        <f>55000+5000+5000+10000</f>
        <v>75000</v>
      </c>
      <c r="L9" s="174"/>
      <c r="M9" s="158"/>
      <c r="N9" s="175"/>
      <c r="O9" s="176" t="s">
        <v>98</v>
      </c>
      <c r="P9" s="176">
        <v>24</v>
      </c>
      <c r="Q9" s="176">
        <v>7</v>
      </c>
      <c r="R9" s="176">
        <f>15-Q9</f>
        <v>8</v>
      </c>
      <c r="S9" s="177"/>
      <c r="T9" s="176" t="s">
        <v>98</v>
      </c>
      <c r="U9" s="178"/>
      <c r="V9" s="178"/>
      <c r="W9" s="178">
        <f>V9+U9</f>
        <v>0</v>
      </c>
      <c r="X9" s="178"/>
      <c r="Y9" s="178">
        <f>W9-X9</f>
        <v>0</v>
      </c>
      <c r="Z9" s="171"/>
      <c r="AA9" s="158"/>
      <c r="AB9" s="158"/>
      <c r="AC9" s="158"/>
    </row>
    <row r="10" spans="1:30" ht="19.149999999999999" customHeight="1" x14ac:dyDescent="0.2">
      <c r="A10" s="163"/>
      <c r="B10" s="149" t="s">
        <v>99</v>
      </c>
      <c r="C10" s="148" t="s">
        <v>26</v>
      </c>
      <c r="D10" s="149"/>
      <c r="E10" s="149"/>
      <c r="F10" s="149"/>
      <c r="G10" s="149"/>
      <c r="H10" s="179"/>
      <c r="I10" s="172"/>
      <c r="J10" s="149"/>
      <c r="K10" s="149"/>
      <c r="L10" s="180"/>
      <c r="M10" s="159"/>
      <c r="N10" s="181"/>
      <c r="O10" s="176" t="s">
        <v>100</v>
      </c>
      <c r="P10" s="176">
        <v>28</v>
      </c>
      <c r="Q10" s="176">
        <v>0</v>
      </c>
      <c r="R10" s="176">
        <f t="shared" ref="R10:R11" si="0">IF(Q10="","",R9-Q10)</f>
        <v>8</v>
      </c>
      <c r="S10" s="156"/>
      <c r="T10" s="176" t="s">
        <v>100</v>
      </c>
      <c r="U10" s="182" t="str">
        <f>IF($J$1="February",Y9,"")</f>
        <v/>
      </c>
      <c r="V10" s="178"/>
      <c r="W10" s="182" t="str">
        <f t="shared" ref="W10:W20" si="1">IF(U10="","",U10+V10)</f>
        <v/>
      </c>
      <c r="X10" s="178"/>
      <c r="Y10" s="182" t="str">
        <f t="shared" ref="Y10:Y20" si="2">IF(W10="","",W10-X10)</f>
        <v/>
      </c>
      <c r="Z10" s="183"/>
      <c r="AA10" s="159"/>
      <c r="AB10" s="158"/>
      <c r="AC10" s="158"/>
    </row>
    <row r="11" spans="1:30" ht="19.149999999999999" customHeight="1" x14ac:dyDescent="0.2">
      <c r="A11" s="163"/>
      <c r="B11" s="184" t="s">
        <v>101</v>
      </c>
      <c r="C11" s="185"/>
      <c r="D11" s="149"/>
      <c r="E11" s="149"/>
      <c r="F11" s="529" t="s">
        <v>89</v>
      </c>
      <c r="G11" s="503"/>
      <c r="H11" s="149"/>
      <c r="I11" s="529" t="s">
        <v>102</v>
      </c>
      <c r="J11" s="502"/>
      <c r="K11" s="503"/>
      <c r="L11" s="186"/>
      <c r="M11" s="158"/>
      <c r="N11" s="175"/>
      <c r="O11" s="176" t="s">
        <v>103</v>
      </c>
      <c r="P11" s="176">
        <v>27</v>
      </c>
      <c r="Q11" s="176">
        <v>4</v>
      </c>
      <c r="R11" s="176">
        <f t="shared" si="0"/>
        <v>4</v>
      </c>
      <c r="S11" s="156"/>
      <c r="T11" s="176" t="s">
        <v>103</v>
      </c>
      <c r="U11" s="182" t="str">
        <f>IF($J$1="March",Y10,"")</f>
        <v/>
      </c>
      <c r="V11" s="178"/>
      <c r="W11" s="182" t="str">
        <f t="shared" si="1"/>
        <v/>
      </c>
      <c r="X11" s="178"/>
      <c r="Y11" s="182" t="str">
        <f t="shared" si="2"/>
        <v/>
      </c>
      <c r="Z11" s="183"/>
      <c r="AA11" s="158"/>
      <c r="AB11" s="158"/>
      <c r="AC11" s="158"/>
    </row>
    <row r="12" spans="1:30" ht="19.149999999999999" customHeight="1" x14ac:dyDescent="0.2">
      <c r="A12" s="163"/>
      <c r="B12" s="149"/>
      <c r="C12" s="149"/>
      <c r="D12" s="149"/>
      <c r="E12" s="149"/>
      <c r="F12" s="149"/>
      <c r="G12" s="149"/>
      <c r="H12" s="187"/>
      <c r="I12" s="149"/>
      <c r="J12" s="149"/>
      <c r="K12" s="149"/>
      <c r="L12" s="188"/>
      <c r="M12" s="158"/>
      <c r="N12" s="175"/>
      <c r="O12" s="176" t="s">
        <v>104</v>
      </c>
      <c r="P12" s="176">
        <v>24</v>
      </c>
      <c r="Q12" s="176">
        <v>6</v>
      </c>
      <c r="R12" s="176">
        <v>0</v>
      </c>
      <c r="S12" s="156"/>
      <c r="T12" s="176" t="s">
        <v>104</v>
      </c>
      <c r="U12" s="182" t="str">
        <f>IF($J$1="April",Y11,"")</f>
        <v/>
      </c>
      <c r="V12" s="178"/>
      <c r="W12" s="182" t="str">
        <f t="shared" si="1"/>
        <v/>
      </c>
      <c r="X12" s="178"/>
      <c r="Y12" s="182" t="str">
        <f t="shared" si="2"/>
        <v/>
      </c>
      <c r="Z12" s="183"/>
      <c r="AA12" s="158"/>
      <c r="AB12" s="158"/>
      <c r="AC12" s="158"/>
    </row>
    <row r="13" spans="1:30" ht="19.149999999999999" customHeight="1" x14ac:dyDescent="0.2">
      <c r="A13" s="163"/>
      <c r="B13" s="527" t="s">
        <v>88</v>
      </c>
      <c r="C13" s="503"/>
      <c r="D13" s="149"/>
      <c r="E13" s="149"/>
      <c r="F13" s="189" t="s">
        <v>105</v>
      </c>
      <c r="G13" s="190" t="str">
        <f>IF($J$1="January",U9,IF($J$1="February",U10,IF($J$1="March",U11,IF($J$1="April",U12,IF($J$1="May",U13,IF($J$1="June",U14,IF($J$1="July",U15,IF($J$1="August",U16,IF($J$1="August",U16,IF($J$1="September",U17,IF($J$1="October",U18,IF($J$1="November",U19,IF($J$1="December",U20)))))))))))))</f>
        <v/>
      </c>
      <c r="H13" s="187"/>
      <c r="I13" s="191">
        <f>K2</f>
        <v>30</v>
      </c>
      <c r="J13" s="192" t="s">
        <v>106</v>
      </c>
      <c r="K13" s="193">
        <f>K9/$K$2*I13</f>
        <v>75000</v>
      </c>
      <c r="L13" s="194"/>
      <c r="M13" s="158"/>
      <c r="N13" s="175"/>
      <c r="O13" s="176" t="s">
        <v>107</v>
      </c>
      <c r="P13" s="176">
        <v>31</v>
      </c>
      <c r="Q13" s="176">
        <v>0</v>
      </c>
      <c r="R13" s="176">
        <f t="shared" ref="R13:R17" si="3">IF(Q13="","",R12-Q13)</f>
        <v>0</v>
      </c>
      <c r="S13" s="156"/>
      <c r="T13" s="176" t="s">
        <v>107</v>
      </c>
      <c r="U13" s="182" t="str">
        <f>IF($J$1="May",Y12,"")</f>
        <v/>
      </c>
      <c r="V13" s="178"/>
      <c r="W13" s="182" t="str">
        <f t="shared" si="1"/>
        <v/>
      </c>
      <c r="X13" s="178"/>
      <c r="Y13" s="182" t="str">
        <f t="shared" si="2"/>
        <v/>
      </c>
      <c r="Z13" s="183"/>
      <c r="AA13" s="158"/>
      <c r="AB13" s="158"/>
      <c r="AC13" s="158"/>
      <c r="AD13">
        <v>65</v>
      </c>
    </row>
    <row r="14" spans="1:30" ht="19.149999999999999" customHeight="1" x14ac:dyDescent="0.2">
      <c r="A14" s="163"/>
      <c r="B14" s="195"/>
      <c r="C14" s="195"/>
      <c r="D14" s="149"/>
      <c r="E14" s="149"/>
      <c r="F14" s="189" t="s">
        <v>9</v>
      </c>
      <c r="G14" s="190">
        <f>IF($J$1="January",V9,IF($J$1="February",V10,IF($J$1="March",V11,IF($J$1="April",V12,IF($J$1="May",V13,IF($J$1="June",V14,IF($J$1="July",V15,IF($J$1="August",V16,IF($J$1="August",V16,IF($J$1="September",V17,IF($J$1="October",V18,IF($J$1="November",V19,IF($J$1="December",V20)))))))))))))</f>
        <v>0</v>
      </c>
      <c r="H14" s="187"/>
      <c r="I14" s="191"/>
      <c r="J14" s="192" t="s">
        <v>108</v>
      </c>
      <c r="K14" s="190">
        <f>K9/$K$2/8*I14</f>
        <v>0</v>
      </c>
      <c r="L14" s="196"/>
      <c r="M14" s="158"/>
      <c r="N14" s="175"/>
      <c r="O14" s="176" t="s">
        <v>84</v>
      </c>
      <c r="P14" s="176">
        <v>30</v>
      </c>
      <c r="Q14" s="176">
        <v>0</v>
      </c>
      <c r="R14" s="176">
        <f t="shared" si="3"/>
        <v>0</v>
      </c>
      <c r="S14" s="156"/>
      <c r="T14" s="176" t="s">
        <v>84</v>
      </c>
      <c r="U14" s="182" t="str">
        <f>IF($J$1="June",Y13,"")</f>
        <v/>
      </c>
      <c r="V14" s="178"/>
      <c r="W14" s="182" t="str">
        <f t="shared" si="1"/>
        <v/>
      </c>
      <c r="X14" s="178"/>
      <c r="Y14" s="182" t="str">
        <f t="shared" si="2"/>
        <v/>
      </c>
      <c r="Z14" s="183"/>
      <c r="AA14" s="158"/>
      <c r="AB14" s="158"/>
      <c r="AC14" s="158"/>
    </row>
    <row r="15" spans="1:30" ht="19.149999999999999" customHeight="1" x14ac:dyDescent="0.2">
      <c r="A15" s="163"/>
      <c r="B15" s="189" t="s">
        <v>92</v>
      </c>
      <c r="C15" s="195">
        <f>IF($J$1="January",P9,IF($J$1="February",P10,IF($J$1="March",P11,IF($J$1="April",P12,IF($J$1="May",P13,IF($J$1="June",P14,IF($J$1="July",P15,IF($J$1="August",P16,IF($J$1="August",P16,IF($J$1="September",P17,IF($J$1="October",P18,IF($J$1="November",P19,IF($J$1="December",P20)))))))))))))</f>
        <v>30</v>
      </c>
      <c r="D15" s="149"/>
      <c r="E15" s="149"/>
      <c r="F15" s="189" t="s">
        <v>109</v>
      </c>
      <c r="G15" s="190" t="str">
        <f>IF($J$1="January",W9,IF($J$1="February",W10,IF($J$1="March",W11,IF($J$1="April",W12,IF($J$1="May",W13,IF($J$1="June",W14,IF($J$1="July",W15,IF($J$1="August",W16,IF($J$1="August",W16,IF($J$1="September",W17,IF($J$1="October",W18,IF($J$1="November",W19,IF($J$1="December",W20)))))))))))))</f>
        <v/>
      </c>
      <c r="H15" s="187"/>
      <c r="I15" s="528" t="s">
        <v>110</v>
      </c>
      <c r="J15" s="503"/>
      <c r="K15" s="190">
        <f>K13+K14</f>
        <v>75000</v>
      </c>
      <c r="L15" s="196"/>
      <c r="M15" s="158"/>
      <c r="N15" s="175"/>
      <c r="O15" s="176" t="s">
        <v>111</v>
      </c>
      <c r="P15" s="176">
        <v>31</v>
      </c>
      <c r="Q15" s="176">
        <v>1</v>
      </c>
      <c r="R15" s="176">
        <f t="shared" si="3"/>
        <v>-1</v>
      </c>
      <c r="S15" s="156"/>
      <c r="T15" s="176" t="s">
        <v>111</v>
      </c>
      <c r="U15" s="182" t="str">
        <f>IF($J$1="July",Y14,"")</f>
        <v/>
      </c>
      <c r="V15" s="178"/>
      <c r="W15" s="182" t="str">
        <f t="shared" si="1"/>
        <v/>
      </c>
      <c r="X15" s="178"/>
      <c r="Y15" s="182" t="str">
        <f t="shared" si="2"/>
        <v/>
      </c>
      <c r="Z15" s="183"/>
      <c r="AA15" s="158"/>
      <c r="AB15" s="158"/>
      <c r="AC15" s="158"/>
    </row>
    <row r="16" spans="1:30" ht="19.149999999999999" customHeight="1" x14ac:dyDescent="0.2">
      <c r="A16" s="163"/>
      <c r="B16" s="189" t="s">
        <v>93</v>
      </c>
      <c r="C16" s="195">
        <f>IF($J$1="January",Q9,IF($J$1="February",Q10,IF($J$1="March",Q11,IF($J$1="April",Q12,IF($J$1="May",Q13,IF($J$1="June",Q14,IF($J$1="July",Q15,IF($J$1="August",Q16,IF($J$1="August",Q16,IF($J$1="September",Q17,IF($J$1="October",Q18,IF($J$1="November",Q19,IF($J$1="December",Q20)))))))))))))</f>
        <v>0</v>
      </c>
      <c r="D16" s="149"/>
      <c r="E16" s="149"/>
      <c r="F16" s="189" t="s">
        <v>11</v>
      </c>
      <c r="G16" s="190">
        <f>IF($J$1="January",X9,IF($J$1="February",X10,IF($J$1="March",X11,IF($J$1="April",X12,IF($J$1="May",X13,IF($J$1="June",X14,IF($J$1="July",X15,IF($J$1="August",X16,IF($J$1="August",X16,IF($J$1="September",X17,IF($J$1="October",X18,IF($J$1="November",X19,IF($J$1="December",X20)))))))))))))</f>
        <v>0</v>
      </c>
      <c r="H16" s="187"/>
      <c r="I16" s="528" t="s">
        <v>112</v>
      </c>
      <c r="J16" s="503"/>
      <c r="K16" s="190">
        <f>G16</f>
        <v>0</v>
      </c>
      <c r="L16" s="196"/>
      <c r="M16" s="158"/>
      <c r="N16" s="175"/>
      <c r="O16" s="176" t="s">
        <v>113</v>
      </c>
      <c r="P16" s="176">
        <v>31</v>
      </c>
      <c r="Q16" s="176">
        <v>0</v>
      </c>
      <c r="R16" s="176">
        <v>0</v>
      </c>
      <c r="S16" s="156"/>
      <c r="T16" s="176" t="s">
        <v>113</v>
      </c>
      <c r="U16" s="182" t="str">
        <f>IF($J$1="August",Y15,"")</f>
        <v/>
      </c>
      <c r="V16" s="178"/>
      <c r="W16" s="182" t="str">
        <f t="shared" si="1"/>
        <v/>
      </c>
      <c r="X16" s="178"/>
      <c r="Y16" s="182" t="str">
        <f t="shared" si="2"/>
        <v/>
      </c>
      <c r="Z16" s="183"/>
      <c r="AA16" s="158"/>
      <c r="AB16" s="158"/>
      <c r="AC16" s="158"/>
    </row>
    <row r="17" spans="1:29" ht="19.149999999999999" customHeight="1" x14ac:dyDescent="0.2">
      <c r="A17" s="163"/>
      <c r="B17" s="189" t="s">
        <v>114</v>
      </c>
      <c r="C17" s="195">
        <f>IF($J$1="January",R9,IF($J$1="February",R10,IF($J$1="March",R11,IF($J$1="April",R12,IF($J$1="May",R13,IF($J$1="June",R14,IF($J$1="July",R15,IF($J$1="August",R16,IF($J$1="August",R16,IF($J$1="September",R17,IF($J$1="October",R18,IF($J$1="November",R19,IF($J$1="December",R20)))))))))))))</f>
        <v>0</v>
      </c>
      <c r="D17" s="149"/>
      <c r="E17" s="149"/>
      <c r="F17" s="189" t="s">
        <v>115</v>
      </c>
      <c r="G17" s="190" t="str">
        <f>IF($J$1="January",Y9,IF($J$1="February",Y10,IF($J$1="March",Y11,IF($J$1="April",Y12,IF($J$1="May",Y13,IF($J$1="June",Y14,IF($J$1="July",Y15,IF($J$1="August",Y16,IF($J$1="August",Y16,IF($J$1="September",Y17,IF($J$1="October",Y18,IF($J$1="November",Y19,IF($J$1="December",Y20)))))))))))))</f>
        <v/>
      </c>
      <c r="H17" s="149"/>
      <c r="I17" s="529" t="s">
        <v>13</v>
      </c>
      <c r="J17" s="503"/>
      <c r="K17" s="37">
        <f>K15-K16</f>
        <v>75000</v>
      </c>
      <c r="L17" s="180"/>
      <c r="M17" s="158"/>
      <c r="N17" s="175"/>
      <c r="O17" s="176" t="s">
        <v>116</v>
      </c>
      <c r="P17" s="176">
        <v>30</v>
      </c>
      <c r="Q17" s="176">
        <v>0</v>
      </c>
      <c r="R17" s="176">
        <f t="shared" si="3"/>
        <v>0</v>
      </c>
      <c r="S17" s="156"/>
      <c r="T17" s="176" t="s">
        <v>116</v>
      </c>
      <c r="U17" s="182" t="str">
        <f>IF($J$1="September",Y16,"")</f>
        <v/>
      </c>
      <c r="V17" s="178"/>
      <c r="W17" s="182" t="str">
        <f t="shared" si="1"/>
        <v/>
      </c>
      <c r="X17" s="178"/>
      <c r="Y17" s="182" t="str">
        <f t="shared" si="2"/>
        <v/>
      </c>
      <c r="Z17" s="183"/>
      <c r="AA17" s="158"/>
      <c r="AB17" s="158"/>
      <c r="AC17" s="158"/>
    </row>
    <row r="18" spans="1:29" ht="19.149999999999999" customHeight="1" x14ac:dyDescent="0.2">
      <c r="A18" s="163"/>
      <c r="B18" s="149"/>
      <c r="C18" s="149"/>
      <c r="D18" s="149"/>
      <c r="E18" s="149"/>
      <c r="F18" s="149"/>
      <c r="G18" s="149"/>
      <c r="H18" s="149"/>
      <c r="I18" s="530"/>
      <c r="J18" s="531"/>
      <c r="K18" s="151"/>
      <c r="L18" s="186"/>
      <c r="M18" s="158"/>
      <c r="N18" s="175"/>
      <c r="O18" s="176" t="s">
        <v>117</v>
      </c>
      <c r="P18" s="176"/>
      <c r="Q18" s="176"/>
      <c r="R18" s="176">
        <v>0</v>
      </c>
      <c r="S18" s="156"/>
      <c r="T18" s="176" t="s">
        <v>117</v>
      </c>
      <c r="U18" s="182" t="str">
        <f>IF($J$1="October",Y17,"")</f>
        <v/>
      </c>
      <c r="V18" s="178"/>
      <c r="W18" s="182" t="str">
        <f t="shared" si="1"/>
        <v/>
      </c>
      <c r="X18" s="178"/>
      <c r="Y18" s="182" t="str">
        <f t="shared" si="2"/>
        <v/>
      </c>
      <c r="Z18" s="183"/>
      <c r="AA18" s="158"/>
      <c r="AB18" s="158"/>
      <c r="AC18" s="158"/>
    </row>
    <row r="19" spans="1:29" ht="19.149999999999999" customHeight="1" x14ac:dyDescent="0.3">
      <c r="A19" s="163"/>
      <c r="B19" s="147"/>
      <c r="C19" s="147"/>
      <c r="D19" s="147"/>
      <c r="E19" s="147"/>
      <c r="F19" s="147"/>
      <c r="G19" s="147"/>
      <c r="H19" s="147"/>
      <c r="I19" s="530"/>
      <c r="J19" s="530"/>
      <c r="K19" s="151"/>
      <c r="L19" s="186"/>
      <c r="M19" s="158"/>
      <c r="N19" s="175"/>
      <c r="O19" s="176" t="s">
        <v>118</v>
      </c>
      <c r="P19" s="176"/>
      <c r="Q19" s="176"/>
      <c r="R19" s="176">
        <v>0</v>
      </c>
      <c r="S19" s="156"/>
      <c r="T19" s="176" t="s">
        <v>118</v>
      </c>
      <c r="U19" s="182" t="str">
        <f>IF($J$1="November",Y18,"")</f>
        <v/>
      </c>
      <c r="V19" s="178"/>
      <c r="W19" s="182" t="str">
        <f t="shared" si="1"/>
        <v/>
      </c>
      <c r="X19" s="178"/>
      <c r="Y19" s="182" t="str">
        <f t="shared" si="2"/>
        <v/>
      </c>
      <c r="Z19" s="183"/>
      <c r="AA19" s="158"/>
      <c r="AB19" s="158"/>
      <c r="AC19" s="158"/>
    </row>
    <row r="20" spans="1:29" ht="19.149999999999999" customHeight="1" thickBot="1" x14ac:dyDescent="0.35">
      <c r="A20" s="197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158"/>
      <c r="N20" s="175"/>
      <c r="O20" s="176" t="s">
        <v>119</v>
      </c>
      <c r="P20" s="176"/>
      <c r="Q20" s="176"/>
      <c r="R20" s="176" t="str">
        <f>IF(Q20="","",R19-Q20)</f>
        <v/>
      </c>
      <c r="S20" s="156"/>
      <c r="T20" s="176" t="s">
        <v>119</v>
      </c>
      <c r="U20" s="182" t="str">
        <f>IF($J$1="December",Y19,"")</f>
        <v/>
      </c>
      <c r="V20" s="178"/>
      <c r="W20" s="182" t="str">
        <f t="shared" si="1"/>
        <v/>
      </c>
      <c r="X20" s="178"/>
      <c r="Y20" s="182" t="str">
        <f t="shared" si="2"/>
        <v/>
      </c>
      <c r="Z20" s="183"/>
      <c r="AA20" s="158"/>
      <c r="AB20" s="158"/>
      <c r="AC20" s="158"/>
    </row>
    <row r="21" spans="1:29" ht="23.25" thickBot="1" x14ac:dyDescent="0.25">
      <c r="A21" s="200"/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1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1"/>
      <c r="AB21" s="201"/>
      <c r="AC21" s="201"/>
    </row>
    <row r="22" spans="1:29" ht="23.25" thickBot="1" x14ac:dyDescent="0.25">
      <c r="A22" s="532" t="s">
        <v>87</v>
      </c>
      <c r="B22" s="533"/>
      <c r="C22" s="533"/>
      <c r="D22" s="533"/>
      <c r="E22" s="533"/>
      <c r="F22" s="533"/>
      <c r="G22" s="533"/>
      <c r="H22" s="533"/>
      <c r="I22" s="533"/>
      <c r="J22" s="533"/>
      <c r="K22" s="533"/>
      <c r="L22" s="534"/>
      <c r="M22" s="159"/>
      <c r="N22" s="181"/>
      <c r="O22" s="563" t="s">
        <v>88</v>
      </c>
      <c r="P22" s="502"/>
      <c r="Q22" s="502"/>
      <c r="R22" s="503"/>
      <c r="S22" s="156"/>
      <c r="T22" s="563" t="s">
        <v>89</v>
      </c>
      <c r="U22" s="502"/>
      <c r="V22" s="502"/>
      <c r="W22" s="502"/>
      <c r="X22" s="502"/>
      <c r="Y22" s="503"/>
      <c r="Z22" s="203"/>
      <c r="AA22" s="159"/>
      <c r="AB22" s="158"/>
      <c r="AC22" s="158"/>
    </row>
    <row r="23" spans="1:29" ht="22.5" x14ac:dyDescent="0.2">
      <c r="A23" s="163"/>
      <c r="B23" s="149"/>
      <c r="C23" s="535" t="s">
        <v>120</v>
      </c>
      <c r="D23" s="531"/>
      <c r="E23" s="531"/>
      <c r="F23" s="531"/>
      <c r="G23" s="164" t="str">
        <f>$J$1</f>
        <v>September</v>
      </c>
      <c r="H23" s="536">
        <f>$K$1</f>
        <v>2024</v>
      </c>
      <c r="I23" s="531"/>
      <c r="J23" s="149"/>
      <c r="K23" s="165"/>
      <c r="L23" s="166"/>
      <c r="M23" s="167"/>
      <c r="N23" s="168"/>
      <c r="O23" s="169" t="s">
        <v>91</v>
      </c>
      <c r="P23" s="169" t="s">
        <v>92</v>
      </c>
      <c r="Q23" s="169" t="s">
        <v>93</v>
      </c>
      <c r="R23" s="169" t="s">
        <v>94</v>
      </c>
      <c r="S23" s="170"/>
      <c r="T23" s="169" t="s">
        <v>91</v>
      </c>
      <c r="U23" s="169" t="s">
        <v>95</v>
      </c>
      <c r="V23" s="169" t="s">
        <v>9</v>
      </c>
      <c r="W23" s="169" t="s">
        <v>10</v>
      </c>
      <c r="X23" s="169" t="s">
        <v>11</v>
      </c>
      <c r="Y23" s="169" t="s">
        <v>96</v>
      </c>
      <c r="Z23" s="171"/>
      <c r="AA23" s="167"/>
      <c r="AB23" s="158"/>
      <c r="AC23" s="158"/>
    </row>
    <row r="24" spans="1:29" ht="22.5" x14ac:dyDescent="0.2">
      <c r="A24" s="163"/>
      <c r="B24" s="149"/>
      <c r="C24" s="149"/>
      <c r="D24" s="172"/>
      <c r="E24" s="172"/>
      <c r="F24" s="172"/>
      <c r="G24" s="172"/>
      <c r="H24" s="172"/>
      <c r="I24" s="149"/>
      <c r="J24" s="173" t="s">
        <v>97</v>
      </c>
      <c r="K24" s="151">
        <v>6000</v>
      </c>
      <c r="L24" s="174"/>
      <c r="M24" s="158"/>
      <c r="N24" s="175"/>
      <c r="O24" s="176" t="s">
        <v>98</v>
      </c>
      <c r="P24" s="176"/>
      <c r="Q24" s="176"/>
      <c r="R24" s="176"/>
      <c r="S24" s="177"/>
      <c r="T24" s="176" t="s">
        <v>98</v>
      </c>
      <c r="U24" s="178"/>
      <c r="V24" s="178"/>
      <c r="W24" s="178">
        <f>V24+U24</f>
        <v>0</v>
      </c>
      <c r="X24" s="178"/>
      <c r="Y24" s="178">
        <f>W24-X24</f>
        <v>0</v>
      </c>
      <c r="Z24" s="171"/>
      <c r="AA24" s="158"/>
      <c r="AB24" s="158"/>
      <c r="AC24" s="158"/>
    </row>
    <row r="25" spans="1:29" ht="22.5" x14ac:dyDescent="0.2">
      <c r="A25" s="163"/>
      <c r="B25" s="149" t="s">
        <v>99</v>
      </c>
      <c r="C25" s="148" t="s">
        <v>306</v>
      </c>
      <c r="D25" s="149"/>
      <c r="E25" s="149"/>
      <c r="F25" s="149"/>
      <c r="G25" s="149"/>
      <c r="H25" s="179"/>
      <c r="I25" s="172"/>
      <c r="J25" s="149"/>
      <c r="K25" s="149"/>
      <c r="L25" s="180"/>
      <c r="M25" s="159"/>
      <c r="N25" s="181"/>
      <c r="O25" s="176" t="s">
        <v>100</v>
      </c>
      <c r="P25" s="176"/>
      <c r="Q25" s="176"/>
      <c r="R25" s="176"/>
      <c r="S25" s="156"/>
      <c r="T25" s="176" t="s">
        <v>100</v>
      </c>
      <c r="U25" s="182">
        <f>Y24</f>
        <v>0</v>
      </c>
      <c r="V25" s="178">
        <v>1000</v>
      </c>
      <c r="W25" s="182">
        <f t="shared" ref="W25:W26" si="4">IF(U25="","",U25+V25)</f>
        <v>1000</v>
      </c>
      <c r="X25" s="178">
        <v>1000</v>
      </c>
      <c r="Y25" s="182">
        <f t="shared" ref="Y25:Y35" si="5">IF(W25="","",W25-X25)</f>
        <v>0</v>
      </c>
      <c r="Z25" s="183"/>
      <c r="AA25" s="159"/>
      <c r="AB25" s="158"/>
      <c r="AC25" s="158"/>
    </row>
    <row r="26" spans="1:29" ht="22.5" x14ac:dyDescent="0.2">
      <c r="A26" s="163"/>
      <c r="B26" s="184" t="s">
        <v>101</v>
      </c>
      <c r="C26" s="185"/>
      <c r="D26" s="149"/>
      <c r="E26" s="149"/>
      <c r="F26" s="529" t="s">
        <v>89</v>
      </c>
      <c r="G26" s="503"/>
      <c r="H26" s="149"/>
      <c r="I26" s="529" t="s">
        <v>102</v>
      </c>
      <c r="J26" s="502"/>
      <c r="K26" s="503"/>
      <c r="L26" s="186"/>
      <c r="M26" s="158"/>
      <c r="N26" s="175"/>
      <c r="O26" s="176" t="s">
        <v>103</v>
      </c>
      <c r="P26" s="176"/>
      <c r="Q26" s="176"/>
      <c r="R26" s="176" t="str">
        <f t="shared" ref="R26:R30" si="6">IF(Q26="","",R25-Q26)</f>
        <v/>
      </c>
      <c r="S26" s="156"/>
      <c r="T26" s="176" t="s">
        <v>103</v>
      </c>
      <c r="U26" s="182"/>
      <c r="V26" s="178"/>
      <c r="W26" s="182" t="str">
        <f t="shared" si="4"/>
        <v/>
      </c>
      <c r="X26" s="178"/>
      <c r="Y26" s="182" t="str">
        <f t="shared" si="5"/>
        <v/>
      </c>
      <c r="Z26" s="183"/>
      <c r="AA26" s="158"/>
      <c r="AB26" s="158"/>
      <c r="AC26" s="158"/>
    </row>
    <row r="27" spans="1:29" ht="22.5" x14ac:dyDescent="0.2">
      <c r="A27" s="163"/>
      <c r="B27" s="149"/>
      <c r="C27" s="149"/>
      <c r="D27" s="149"/>
      <c r="E27" s="149"/>
      <c r="F27" s="149"/>
      <c r="G27" s="149"/>
      <c r="H27" s="187"/>
      <c r="I27" s="149"/>
      <c r="J27" s="149"/>
      <c r="K27" s="149"/>
      <c r="L27" s="188"/>
      <c r="M27" s="158"/>
      <c r="N27" s="175"/>
      <c r="O27" s="176" t="s">
        <v>104</v>
      </c>
      <c r="P27" s="176"/>
      <c r="Q27" s="176"/>
      <c r="R27" s="176" t="str">
        <f t="shared" si="6"/>
        <v/>
      </c>
      <c r="S27" s="156"/>
      <c r="T27" s="176" t="s">
        <v>104</v>
      </c>
      <c r="U27" s="182"/>
      <c r="V27" s="178"/>
      <c r="W27" s="182">
        <f>V27+U27</f>
        <v>0</v>
      </c>
      <c r="X27" s="178"/>
      <c r="Y27" s="182">
        <f t="shared" si="5"/>
        <v>0</v>
      </c>
      <c r="Z27" s="183"/>
      <c r="AA27" s="158"/>
      <c r="AB27" s="158"/>
      <c r="AC27" s="158"/>
    </row>
    <row r="28" spans="1:29" ht="22.5" x14ac:dyDescent="0.2">
      <c r="A28" s="163"/>
      <c r="B28" s="527" t="s">
        <v>88</v>
      </c>
      <c r="C28" s="503"/>
      <c r="D28" s="149"/>
      <c r="E28" s="149"/>
      <c r="F28" s="189" t="s">
        <v>105</v>
      </c>
      <c r="G28" s="190" t="str">
        <f>IF($J$1="January",U24,IF($J$1="February",U25,IF($J$1="March",U26,IF($J$1="April",U27,IF($J$1="May",U28,IF($J$1="June",U29,IF($J$1="July",U30,IF($J$1="August",U31,IF($J$1="August",U31,IF($J$1="September",U32,IF($J$1="October",U33,IF($J$1="November",U34,IF($J$1="December",U35)))))))))))))</f>
        <v/>
      </c>
      <c r="H28" s="187"/>
      <c r="I28" s="191"/>
      <c r="J28" s="192" t="s">
        <v>106</v>
      </c>
      <c r="K28" s="193">
        <v>6000</v>
      </c>
      <c r="L28" s="194"/>
      <c r="M28" s="158"/>
      <c r="N28" s="175"/>
      <c r="O28" s="176" t="s">
        <v>107</v>
      </c>
      <c r="P28" s="176"/>
      <c r="Q28" s="176"/>
      <c r="R28" s="176" t="str">
        <f t="shared" si="6"/>
        <v/>
      </c>
      <c r="S28" s="156"/>
      <c r="T28" s="176" t="s">
        <v>107</v>
      </c>
      <c r="U28" s="182">
        <f t="shared" ref="U28:U29" si="7">Y27</f>
        <v>0</v>
      </c>
      <c r="V28" s="178"/>
      <c r="W28" s="182">
        <f t="shared" ref="W28:W35" si="8">IF(U28="","",U28+V28)</f>
        <v>0</v>
      </c>
      <c r="X28" s="178"/>
      <c r="Y28" s="182">
        <f t="shared" si="5"/>
        <v>0</v>
      </c>
      <c r="Z28" s="183"/>
      <c r="AA28" s="158"/>
      <c r="AB28" s="158"/>
      <c r="AC28" s="158"/>
    </row>
    <row r="29" spans="1:29" ht="22.5" x14ac:dyDescent="0.2">
      <c r="A29" s="163"/>
      <c r="B29" s="195"/>
      <c r="C29" s="195"/>
      <c r="D29" s="149"/>
      <c r="E29" s="149"/>
      <c r="F29" s="189" t="s">
        <v>9</v>
      </c>
      <c r="G29" s="190">
        <f>IF($J$1="January",V24,IF($J$1="February",V25,IF($J$1="March",V26,IF($J$1="April",V27,IF($J$1="May",V28,IF($J$1="June",V29,IF($J$1="July",V30,IF($J$1="August",V31,IF($J$1="August",V31,IF($J$1="September",V32,IF($J$1="October",V33,IF($J$1="November",V34,IF($J$1="December",V35)))))))))))))</f>
        <v>0</v>
      </c>
      <c r="H29" s="187"/>
      <c r="I29" s="191"/>
      <c r="J29" s="192" t="s">
        <v>108</v>
      </c>
      <c r="K29" s="190">
        <f>K24/$K$2/8*I29</f>
        <v>0</v>
      </c>
      <c r="L29" s="196"/>
      <c r="M29" s="158"/>
      <c r="N29" s="175"/>
      <c r="O29" s="176" t="s">
        <v>84</v>
      </c>
      <c r="P29" s="176"/>
      <c r="Q29" s="176"/>
      <c r="R29" s="176" t="str">
        <f t="shared" si="6"/>
        <v/>
      </c>
      <c r="S29" s="156"/>
      <c r="T29" s="176" t="s">
        <v>84</v>
      </c>
      <c r="U29" s="182">
        <f t="shared" si="7"/>
        <v>0</v>
      </c>
      <c r="V29" s="178"/>
      <c r="W29" s="182">
        <f t="shared" si="8"/>
        <v>0</v>
      </c>
      <c r="X29" s="178">
        <v>5000</v>
      </c>
      <c r="Y29" s="182">
        <f t="shared" si="5"/>
        <v>-5000</v>
      </c>
      <c r="Z29" s="183"/>
      <c r="AA29" s="158"/>
      <c r="AB29" s="158"/>
      <c r="AC29" s="158"/>
    </row>
    <row r="30" spans="1:29" ht="22.5" x14ac:dyDescent="0.2">
      <c r="A30" s="163"/>
      <c r="B30" s="189" t="s">
        <v>92</v>
      </c>
      <c r="C30" s="195">
        <f>IF($J$1="January",P24,IF($J$1="February",P25,IF($J$1="March",P26,IF($J$1="April",P27,IF($J$1="May",P28,IF($J$1="June",P29,IF($J$1="July",P30,IF($J$1="August",P31,IF($J$1="August",P31,IF($J$1="September",P32,IF($J$1="October",P33,IF($J$1="November",P34,IF($J$1="December",P35)))))))))))))</f>
        <v>30</v>
      </c>
      <c r="D30" s="149"/>
      <c r="E30" s="149"/>
      <c r="F30" s="189" t="s">
        <v>109</v>
      </c>
      <c r="G30" s="190" t="str">
        <f>IF($J$1="January",W24,IF($J$1="February",W25,IF($J$1="March",W26,IF($J$1="April",W27,IF($J$1="May",W28,IF($J$1="June",W29,IF($J$1="July",W30,IF($J$1="August",W31,IF($J$1="August",W31,IF($J$1="September",W32,IF($J$1="October",W33,IF($J$1="November",W34,IF($J$1="December",W35)))))))))))))</f>
        <v/>
      </c>
      <c r="H30" s="187"/>
      <c r="I30" s="528" t="s">
        <v>110</v>
      </c>
      <c r="J30" s="503"/>
      <c r="K30" s="190">
        <f>K28+K29</f>
        <v>6000</v>
      </c>
      <c r="L30" s="196"/>
      <c r="M30" s="158"/>
      <c r="N30" s="175"/>
      <c r="O30" s="176" t="s">
        <v>111</v>
      </c>
      <c r="P30" s="176"/>
      <c r="Q30" s="176"/>
      <c r="R30" s="176" t="str">
        <f t="shared" si="6"/>
        <v/>
      </c>
      <c r="S30" s="156"/>
      <c r="T30" s="176" t="s">
        <v>111</v>
      </c>
      <c r="U30" s="182"/>
      <c r="V30" s="178"/>
      <c r="W30" s="182" t="str">
        <f t="shared" si="8"/>
        <v/>
      </c>
      <c r="X30" s="178"/>
      <c r="Y30" s="182" t="str">
        <f t="shared" si="5"/>
        <v/>
      </c>
      <c r="Z30" s="183"/>
      <c r="AA30" s="158"/>
      <c r="AB30" s="158"/>
      <c r="AC30" s="158"/>
    </row>
    <row r="31" spans="1:29" ht="22.5" x14ac:dyDescent="0.2">
      <c r="A31" s="163"/>
      <c r="B31" s="189" t="s">
        <v>93</v>
      </c>
      <c r="C31" s="195">
        <f>IF($J$1="January",Q24,IF($J$1="February",Q25,IF($J$1="March",Q26,IF($J$1="April",Q27,IF($J$1="May",Q28,IF($J$1="June",Q29,IF($J$1="July",Q30,IF($J$1="August",Q31,IF($J$1="August",Q31,IF($J$1="September",Q32,IF($J$1="October",Q33,IF($J$1="November",Q34,IF($J$1="December",Q35)))))))))))))</f>
        <v>0</v>
      </c>
      <c r="D31" s="149"/>
      <c r="E31" s="149"/>
      <c r="F31" s="189" t="s">
        <v>11</v>
      </c>
      <c r="G31" s="190">
        <f>IF($J$1="January",X24,IF($J$1="February",X25,IF($J$1="March",X26,IF($J$1="April",X27,IF($J$1="May",X28,IF($J$1="June",X29,IF($J$1="July",X30,IF($J$1="August",X31,IF($J$1="August",X31,IF($J$1="September",X32,IF($J$1="October",X33,IF($J$1="November",X34,IF($J$1="December",X35)))))))))))))</f>
        <v>0</v>
      </c>
      <c r="H31" s="187"/>
      <c r="I31" s="528" t="s">
        <v>112</v>
      </c>
      <c r="J31" s="503"/>
      <c r="K31" s="190"/>
      <c r="L31" s="196"/>
      <c r="M31" s="158"/>
      <c r="N31" s="175"/>
      <c r="O31" s="176" t="s">
        <v>113</v>
      </c>
      <c r="P31" s="176">
        <v>31</v>
      </c>
      <c r="Q31" s="176">
        <v>0</v>
      </c>
      <c r="R31" s="176">
        <v>0</v>
      </c>
      <c r="S31" s="156"/>
      <c r="T31" s="176" t="s">
        <v>113</v>
      </c>
      <c r="U31" s="182"/>
      <c r="V31" s="178"/>
      <c r="W31" s="182" t="str">
        <f t="shared" si="8"/>
        <v/>
      </c>
      <c r="X31" s="178"/>
      <c r="Y31" s="182" t="str">
        <f t="shared" si="5"/>
        <v/>
      </c>
      <c r="Z31" s="183"/>
      <c r="AA31" s="158"/>
      <c r="AB31" s="158"/>
      <c r="AC31" s="158"/>
    </row>
    <row r="32" spans="1:29" ht="22.5" x14ac:dyDescent="0.2">
      <c r="A32" s="163"/>
      <c r="B32" s="189" t="s">
        <v>114</v>
      </c>
      <c r="C32" s="195">
        <f>IF($J$1="January",R24,IF($J$1="February",R25,IF($J$1="March",R26,IF($J$1="April",R27,IF($J$1="May",R28,IF($J$1="June",R29,IF($J$1="July",R30,IF($J$1="August",R31,IF($J$1="August",R31,IF($J$1="September",R32,IF($J$1="October",R33,IF($J$1="November",R34,IF($J$1="December",R35)))))))))))))</f>
        <v>0</v>
      </c>
      <c r="D32" s="149"/>
      <c r="E32" s="149"/>
      <c r="F32" s="189" t="s">
        <v>115</v>
      </c>
      <c r="G32" s="190" t="str">
        <f>IF($J$1="January",Y24,IF($J$1="February",Y25,IF($J$1="March",Y26,IF($J$1="April",Y27,IF($J$1="May",Y28,IF($J$1="June",Y29,IF($J$1="July",Y30,IF($J$1="August",Y31,IF($J$1="August",Y31,IF($J$1="September",Y32,IF($J$1="October",Y33,IF($J$1="November",Y34,IF($J$1="December",Y35)))))))))))))</f>
        <v/>
      </c>
      <c r="H32" s="149"/>
      <c r="I32" s="529" t="s">
        <v>13</v>
      </c>
      <c r="J32" s="503"/>
      <c r="K32" s="37">
        <f>K30-K31</f>
        <v>6000</v>
      </c>
      <c r="L32" s="180"/>
      <c r="M32" s="158"/>
      <c r="N32" s="175"/>
      <c r="O32" s="176" t="s">
        <v>116</v>
      </c>
      <c r="P32" s="176">
        <v>30</v>
      </c>
      <c r="Q32" s="176">
        <v>0</v>
      </c>
      <c r="R32" s="176">
        <v>0</v>
      </c>
      <c r="S32" s="156"/>
      <c r="T32" s="176" t="s">
        <v>116</v>
      </c>
      <c r="U32" s="182" t="str">
        <f>IF($J$1="September",Y31,"")</f>
        <v/>
      </c>
      <c r="V32" s="178"/>
      <c r="W32" s="182" t="str">
        <f t="shared" si="8"/>
        <v/>
      </c>
      <c r="X32" s="178"/>
      <c r="Y32" s="182" t="str">
        <f t="shared" si="5"/>
        <v/>
      </c>
      <c r="Z32" s="183"/>
      <c r="AA32" s="158"/>
      <c r="AB32" s="158"/>
      <c r="AC32" s="158"/>
    </row>
    <row r="33" spans="1:29" ht="22.5" x14ac:dyDescent="0.2">
      <c r="A33" s="163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86"/>
      <c r="M33" s="158"/>
      <c r="N33" s="175"/>
      <c r="O33" s="176" t="s">
        <v>117</v>
      </c>
      <c r="P33" s="176"/>
      <c r="Q33" s="176"/>
      <c r="R33" s="176">
        <v>0</v>
      </c>
      <c r="S33" s="156"/>
      <c r="T33" s="176" t="s">
        <v>117</v>
      </c>
      <c r="U33" s="182" t="str">
        <f>IF($J$1="October",Y32,"")</f>
        <v/>
      </c>
      <c r="V33" s="178"/>
      <c r="W33" s="182" t="str">
        <f t="shared" si="8"/>
        <v/>
      </c>
      <c r="X33" s="178"/>
      <c r="Y33" s="182" t="str">
        <f t="shared" si="5"/>
        <v/>
      </c>
      <c r="Z33" s="183"/>
      <c r="AA33" s="158"/>
      <c r="AB33" s="158"/>
      <c r="AC33" s="158"/>
    </row>
    <row r="34" spans="1:29" ht="22.5" x14ac:dyDescent="0.3">
      <c r="A34" s="163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86"/>
      <c r="M34" s="158"/>
      <c r="N34" s="175"/>
      <c r="O34" s="176" t="s">
        <v>118</v>
      </c>
      <c r="P34" s="176"/>
      <c r="Q34" s="176"/>
      <c r="R34" s="176" t="str">
        <f t="shared" ref="R34:R35" si="9">IF(Q34="","",R33-Q34)</f>
        <v/>
      </c>
      <c r="S34" s="156"/>
      <c r="T34" s="176" t="s">
        <v>118</v>
      </c>
      <c r="U34" s="182"/>
      <c r="V34" s="178"/>
      <c r="W34" s="182" t="str">
        <f t="shared" si="8"/>
        <v/>
      </c>
      <c r="X34" s="178"/>
      <c r="Y34" s="182" t="str">
        <f t="shared" si="5"/>
        <v/>
      </c>
      <c r="Z34" s="183"/>
      <c r="AA34" s="158"/>
      <c r="AB34" s="158"/>
      <c r="AC34" s="158"/>
    </row>
    <row r="35" spans="1:29" ht="23.25" thickBot="1" x14ac:dyDescent="0.35">
      <c r="A35" s="197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9"/>
      <c r="M35" s="158"/>
      <c r="N35" s="175"/>
      <c r="O35" s="176" t="s">
        <v>119</v>
      </c>
      <c r="P35" s="176"/>
      <c r="Q35" s="176"/>
      <c r="R35" s="176" t="str">
        <f t="shared" si="9"/>
        <v/>
      </c>
      <c r="S35" s="156"/>
      <c r="T35" s="176" t="s">
        <v>119</v>
      </c>
      <c r="U35" s="182"/>
      <c r="V35" s="178"/>
      <c r="W35" s="182" t="str">
        <f t="shared" si="8"/>
        <v/>
      </c>
      <c r="X35" s="178"/>
      <c r="Y35" s="182" t="str">
        <f t="shared" si="5"/>
        <v/>
      </c>
      <c r="Z35" s="183"/>
      <c r="AA35" s="158"/>
      <c r="AB35" s="158"/>
      <c r="AC35" s="158"/>
    </row>
    <row r="36" spans="1:29" ht="23.25" thickBot="1" x14ac:dyDescent="0.25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1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1"/>
      <c r="AB36" s="201"/>
      <c r="AC36" s="201"/>
    </row>
    <row r="37" spans="1:29" ht="23.25" thickBot="1" x14ac:dyDescent="0.25">
      <c r="A37" s="532" t="s">
        <v>87</v>
      </c>
      <c r="B37" s="533"/>
      <c r="C37" s="533"/>
      <c r="D37" s="533"/>
      <c r="E37" s="533"/>
      <c r="F37" s="533"/>
      <c r="G37" s="533"/>
      <c r="H37" s="533"/>
      <c r="I37" s="533"/>
      <c r="J37" s="533"/>
      <c r="K37" s="533"/>
      <c r="L37" s="534"/>
      <c r="M37" s="159"/>
      <c r="N37" s="160"/>
      <c r="O37" s="524" t="s">
        <v>88</v>
      </c>
      <c r="P37" s="525"/>
      <c r="Q37" s="525"/>
      <c r="R37" s="526"/>
      <c r="S37" s="161"/>
      <c r="T37" s="524" t="s">
        <v>89</v>
      </c>
      <c r="U37" s="525"/>
      <c r="V37" s="525"/>
      <c r="W37" s="525"/>
      <c r="X37" s="525"/>
      <c r="Y37" s="526"/>
      <c r="Z37" s="162"/>
      <c r="AA37" s="159"/>
      <c r="AB37" s="158"/>
      <c r="AC37" s="158"/>
    </row>
    <row r="38" spans="1:29" ht="22.5" x14ac:dyDescent="0.2">
      <c r="A38" s="163"/>
      <c r="B38" s="149"/>
      <c r="C38" s="535" t="s">
        <v>121</v>
      </c>
      <c r="D38" s="531"/>
      <c r="E38" s="531"/>
      <c r="F38" s="531"/>
      <c r="G38" s="164" t="str">
        <f>$J$1</f>
        <v>September</v>
      </c>
      <c r="H38" s="536">
        <f>$K$1</f>
        <v>2024</v>
      </c>
      <c r="I38" s="531"/>
      <c r="J38" s="149"/>
      <c r="K38" s="165"/>
      <c r="L38" s="166"/>
      <c r="M38" s="167"/>
      <c r="N38" s="168"/>
      <c r="O38" s="169" t="s">
        <v>91</v>
      </c>
      <c r="P38" s="169" t="s">
        <v>92</v>
      </c>
      <c r="Q38" s="169" t="s">
        <v>93</v>
      </c>
      <c r="R38" s="169" t="s">
        <v>94</v>
      </c>
      <c r="S38" s="170"/>
      <c r="T38" s="169" t="s">
        <v>91</v>
      </c>
      <c r="U38" s="169" t="s">
        <v>95</v>
      </c>
      <c r="V38" s="169" t="s">
        <v>9</v>
      </c>
      <c r="W38" s="169" t="s">
        <v>10</v>
      </c>
      <c r="X38" s="169" t="s">
        <v>11</v>
      </c>
      <c r="Y38" s="169" t="s">
        <v>96</v>
      </c>
      <c r="Z38" s="171"/>
      <c r="AA38" s="167"/>
      <c r="AB38" s="158"/>
      <c r="AC38" s="158"/>
    </row>
    <row r="39" spans="1:29" ht="22.5" x14ac:dyDescent="0.2">
      <c r="A39" s="163"/>
      <c r="B39" s="149"/>
      <c r="C39" s="149"/>
      <c r="D39" s="172"/>
      <c r="E39" s="172"/>
      <c r="F39" s="172"/>
      <c r="G39" s="172"/>
      <c r="H39" s="172"/>
      <c r="I39" s="149"/>
      <c r="J39" s="173" t="s">
        <v>97</v>
      </c>
      <c r="K39" s="151">
        <v>23000</v>
      </c>
      <c r="L39" s="174"/>
      <c r="M39" s="158"/>
      <c r="N39" s="175"/>
      <c r="O39" s="176" t="s">
        <v>98</v>
      </c>
      <c r="P39" s="176"/>
      <c r="Q39" s="176"/>
      <c r="R39" s="176"/>
      <c r="S39" s="177"/>
      <c r="T39" s="176" t="s">
        <v>98</v>
      </c>
      <c r="U39" s="178"/>
      <c r="V39" s="178">
        <v>15000</v>
      </c>
      <c r="W39" s="178">
        <f t="shared" ref="W39:W41" si="10">V39+U39</f>
        <v>15000</v>
      </c>
      <c r="X39" s="178">
        <v>7000</v>
      </c>
      <c r="Y39" s="178">
        <f>W39-X39</f>
        <v>8000</v>
      </c>
      <c r="Z39" s="171"/>
      <c r="AA39" s="158"/>
      <c r="AB39" s="158"/>
      <c r="AC39" s="158"/>
    </row>
    <row r="40" spans="1:29" ht="22.5" x14ac:dyDescent="0.2">
      <c r="A40" s="163"/>
      <c r="B40" s="149" t="s">
        <v>99</v>
      </c>
      <c r="C40" s="148" t="s">
        <v>122</v>
      </c>
      <c r="D40" s="149"/>
      <c r="E40" s="149"/>
      <c r="F40" s="149"/>
      <c r="G40" s="149"/>
      <c r="H40" s="179"/>
      <c r="I40" s="172"/>
      <c r="J40" s="149"/>
      <c r="K40" s="149"/>
      <c r="L40" s="180"/>
      <c r="M40" s="159"/>
      <c r="N40" s="181"/>
      <c r="O40" s="176" t="s">
        <v>100</v>
      </c>
      <c r="P40" s="176"/>
      <c r="Q40" s="176"/>
      <c r="R40" s="176"/>
      <c r="S40" s="156"/>
      <c r="T40" s="176" t="s">
        <v>100</v>
      </c>
      <c r="U40" s="182">
        <f t="shared" ref="U40:U44" si="11">Y39</f>
        <v>8000</v>
      </c>
      <c r="V40" s="178"/>
      <c r="W40" s="178">
        <f t="shared" si="10"/>
        <v>8000</v>
      </c>
      <c r="X40" s="178">
        <v>1000</v>
      </c>
      <c r="Y40" s="182">
        <f t="shared" ref="Y40:Y50" si="12">IF(W40="","",W40-X40)</f>
        <v>7000</v>
      </c>
      <c r="Z40" s="183"/>
      <c r="AA40" s="159"/>
      <c r="AB40" s="158"/>
      <c r="AC40" s="158"/>
    </row>
    <row r="41" spans="1:29" ht="22.5" x14ac:dyDescent="0.2">
      <c r="A41" s="163"/>
      <c r="B41" s="184" t="s">
        <v>101</v>
      </c>
      <c r="C41" s="185"/>
      <c r="D41" s="149"/>
      <c r="E41" s="149"/>
      <c r="F41" s="529" t="s">
        <v>89</v>
      </c>
      <c r="G41" s="503"/>
      <c r="H41" s="149"/>
      <c r="I41" s="529" t="s">
        <v>102</v>
      </c>
      <c r="J41" s="502"/>
      <c r="K41" s="503"/>
      <c r="L41" s="186"/>
      <c r="M41" s="158"/>
      <c r="N41" s="175"/>
      <c r="O41" s="176" t="s">
        <v>103</v>
      </c>
      <c r="P41" s="176"/>
      <c r="Q41" s="176"/>
      <c r="R41" s="176" t="str">
        <f t="shared" ref="R41:R43" si="13">IF(Q41="","",R40-Q41)</f>
        <v/>
      </c>
      <c r="S41" s="156"/>
      <c r="T41" s="176" t="s">
        <v>103</v>
      </c>
      <c r="U41" s="182">
        <f t="shared" si="11"/>
        <v>7000</v>
      </c>
      <c r="V41" s="178"/>
      <c r="W41" s="178">
        <f t="shared" si="10"/>
        <v>7000</v>
      </c>
      <c r="X41" s="178">
        <v>7000</v>
      </c>
      <c r="Y41" s="182">
        <f t="shared" si="12"/>
        <v>0</v>
      </c>
      <c r="Z41" s="183"/>
      <c r="AA41" s="158"/>
      <c r="AB41" s="158"/>
      <c r="AC41" s="158"/>
    </row>
    <row r="42" spans="1:29" ht="22.5" x14ac:dyDescent="0.2">
      <c r="A42" s="163"/>
      <c r="B42" s="149"/>
      <c r="C42" s="149"/>
      <c r="D42" s="149"/>
      <c r="E42" s="149"/>
      <c r="F42" s="149"/>
      <c r="G42" s="149"/>
      <c r="H42" s="187"/>
      <c r="I42" s="149"/>
      <c r="J42" s="149"/>
      <c r="K42" s="149"/>
      <c r="L42" s="188"/>
      <c r="M42" s="158"/>
      <c r="N42" s="175"/>
      <c r="O42" s="176" t="s">
        <v>104</v>
      </c>
      <c r="P42" s="176"/>
      <c r="Q42" s="176"/>
      <c r="R42" s="176" t="str">
        <f t="shared" si="13"/>
        <v/>
      </c>
      <c r="S42" s="156"/>
      <c r="T42" s="176" t="s">
        <v>104</v>
      </c>
      <c r="U42" s="182">
        <f t="shared" si="11"/>
        <v>0</v>
      </c>
      <c r="V42" s="178">
        <v>2000</v>
      </c>
      <c r="W42" s="182">
        <f t="shared" ref="W42:W50" si="14">IF(U42="","",U42+V42)</f>
        <v>2000</v>
      </c>
      <c r="X42" s="178">
        <v>1000</v>
      </c>
      <c r="Y42" s="182">
        <f t="shared" si="12"/>
        <v>1000</v>
      </c>
      <c r="Z42" s="183"/>
      <c r="AA42" s="158"/>
      <c r="AB42" s="158"/>
      <c r="AC42" s="158"/>
    </row>
    <row r="43" spans="1:29" ht="22.5" x14ac:dyDescent="0.2">
      <c r="A43" s="163"/>
      <c r="B43" s="527" t="s">
        <v>88</v>
      </c>
      <c r="C43" s="503"/>
      <c r="D43" s="149"/>
      <c r="E43" s="149"/>
      <c r="F43" s="189" t="s">
        <v>105</v>
      </c>
      <c r="G43" s="190">
        <f>IF($J$1="January",U39,IF($J$1="February",U40,IF($J$1="March",U41,IF($J$1="April",U42,IF($J$1="May",U43,IF($J$1="June",U44,IF($J$1="July",U45,IF($J$1="August",U46,IF($J$1="August",U46,IF($J$1="September",U47,IF($J$1="October",U48,IF($J$1="November",U49,IF($J$1="December",U50)))))))))))))</f>
        <v>5000</v>
      </c>
      <c r="H43" s="187"/>
      <c r="I43" s="191">
        <f>IF(C47&gt;=C46,$K$2,C45-C46+C47)</f>
        <v>30</v>
      </c>
      <c r="J43" s="192" t="s">
        <v>106</v>
      </c>
      <c r="K43" s="193">
        <f>K39/$K$2*I43</f>
        <v>23000</v>
      </c>
      <c r="L43" s="194"/>
      <c r="M43" s="158"/>
      <c r="N43" s="175"/>
      <c r="O43" s="176" t="s">
        <v>107</v>
      </c>
      <c r="P43" s="176"/>
      <c r="Q43" s="176"/>
      <c r="R43" s="176" t="str">
        <f t="shared" si="13"/>
        <v/>
      </c>
      <c r="S43" s="156"/>
      <c r="T43" s="176" t="s">
        <v>107</v>
      </c>
      <c r="U43" s="182">
        <f t="shared" si="11"/>
        <v>1000</v>
      </c>
      <c r="V43" s="178"/>
      <c r="W43" s="182">
        <f t="shared" si="14"/>
        <v>1000</v>
      </c>
      <c r="X43" s="178"/>
      <c r="Y43" s="182">
        <f t="shared" si="12"/>
        <v>1000</v>
      </c>
      <c r="Z43" s="183"/>
      <c r="AA43" s="158"/>
      <c r="AB43" s="158"/>
      <c r="AC43" s="158"/>
    </row>
    <row r="44" spans="1:29" ht="22.5" x14ac:dyDescent="0.2">
      <c r="A44" s="163"/>
      <c r="B44" s="195"/>
      <c r="C44" s="195"/>
      <c r="D44" s="149"/>
      <c r="E44" s="149"/>
      <c r="F44" s="189" t="s">
        <v>9</v>
      </c>
      <c r="G44" s="190">
        <f>IF($J$1="January",V39,IF($J$1="February",V40,IF($J$1="March",V41,IF($J$1="April",V42,IF($J$1="May",V43,IF($J$1="June",V44,IF($J$1="July",V45,IF($J$1="August",V46,IF($J$1="August",V46,IF($J$1="September",V47,IF($J$1="October",V48,IF($J$1="November",V49,IF($J$1="December",V50)))))))))))))</f>
        <v>0</v>
      </c>
      <c r="H44" s="187"/>
      <c r="I44" s="191"/>
      <c r="J44" s="192" t="s">
        <v>108</v>
      </c>
      <c r="K44" s="190">
        <f>K39/$K$2/8*I44</f>
        <v>0</v>
      </c>
      <c r="L44" s="196"/>
      <c r="M44" s="158"/>
      <c r="N44" s="175"/>
      <c r="O44" s="176" t="s">
        <v>84</v>
      </c>
      <c r="P44" s="176"/>
      <c r="Q44" s="176"/>
      <c r="R44" s="176">
        <v>0</v>
      </c>
      <c r="S44" s="156"/>
      <c r="T44" s="176" t="s">
        <v>84</v>
      </c>
      <c r="U44" s="182">
        <f t="shared" si="11"/>
        <v>1000</v>
      </c>
      <c r="V44" s="178">
        <f>8000+1000</f>
        <v>9000</v>
      </c>
      <c r="W44" s="182">
        <f t="shared" si="14"/>
        <v>10000</v>
      </c>
      <c r="X44" s="178">
        <v>3000</v>
      </c>
      <c r="Y44" s="182">
        <f t="shared" si="12"/>
        <v>7000</v>
      </c>
      <c r="Z44" s="183"/>
      <c r="AA44" s="158"/>
      <c r="AB44" s="158"/>
      <c r="AC44" s="158"/>
    </row>
    <row r="45" spans="1:29" ht="22.5" x14ac:dyDescent="0.2">
      <c r="A45" s="163"/>
      <c r="B45" s="189" t="s">
        <v>92</v>
      </c>
      <c r="C45" s="195">
        <f>IF($J$1="January",P39,IF($J$1="February",P40,IF($J$1="March",P41,IF($J$1="April",P42,IF($J$1="May",P43,IF($J$1="June",P44,IF($J$1="July",P45,IF($J$1="August",P46,IF($J$1="August",P46,IF($J$1="September",P47,IF($J$1="October",P48,IF($J$1="November",P49,IF($J$1="December",P50)))))))))))))</f>
        <v>30</v>
      </c>
      <c r="D45" s="149"/>
      <c r="E45" s="149"/>
      <c r="F45" s="189" t="s">
        <v>109</v>
      </c>
      <c r="G45" s="190">
        <f>IF($J$1="January",W39,IF($J$1="February",W40,IF($J$1="March",W41,IF($J$1="April",W42,IF($J$1="May",W43,IF($J$1="June",W44,IF($J$1="July",W45,IF($J$1="August",W46,IF($J$1="August",W46,IF($J$1="September",W47,IF($J$1="October",W48,IF($J$1="November",W49,IF($J$1="December",W50)))))))))))))</f>
        <v>5000</v>
      </c>
      <c r="H45" s="187"/>
      <c r="I45" s="528" t="s">
        <v>110</v>
      </c>
      <c r="J45" s="503"/>
      <c r="K45" s="190">
        <f>K43+K44</f>
        <v>23000</v>
      </c>
      <c r="L45" s="196"/>
      <c r="M45" s="158"/>
      <c r="N45" s="175"/>
      <c r="O45" s="176" t="s">
        <v>111</v>
      </c>
      <c r="P45" s="176"/>
      <c r="Q45" s="176"/>
      <c r="R45" s="176" t="str">
        <f t="shared" ref="R45" si="15">IF(Q45="","",R44-Q45)</f>
        <v/>
      </c>
      <c r="S45" s="156"/>
      <c r="T45" s="176" t="s">
        <v>111</v>
      </c>
      <c r="U45" s="182">
        <f>Y44</f>
        <v>7000</v>
      </c>
      <c r="V45" s="178"/>
      <c r="W45" s="182">
        <f t="shared" si="14"/>
        <v>7000</v>
      </c>
      <c r="X45" s="178">
        <v>1000</v>
      </c>
      <c r="Y45" s="182">
        <f t="shared" si="12"/>
        <v>6000</v>
      </c>
      <c r="Z45" s="183"/>
      <c r="AA45" s="158"/>
      <c r="AB45" s="158"/>
      <c r="AC45" s="158"/>
    </row>
    <row r="46" spans="1:29" ht="22.5" x14ac:dyDescent="0.2">
      <c r="A46" s="163"/>
      <c r="B46" s="189" t="s">
        <v>93</v>
      </c>
      <c r="C46" s="195">
        <f>IF($J$1="January",Q39,IF($J$1="February",Q40,IF($J$1="March",Q41,IF($J$1="April",Q42,IF($J$1="May",Q43,IF($J$1="June",Q44,IF($J$1="July",Q45,IF($J$1="August",Q46,IF($J$1="August",Q46,IF($J$1="September",Q47,IF($J$1="October",Q48,IF($J$1="November",Q49,IF($J$1="December",Q50)))))))))))))</f>
        <v>0</v>
      </c>
      <c r="D46" s="149"/>
      <c r="E46" s="149"/>
      <c r="F46" s="189" t="s">
        <v>11</v>
      </c>
      <c r="G46" s="190">
        <f>IF($J$1="January",X39,IF($J$1="February",X40,IF($J$1="March",X41,IF($J$1="April",X42,IF($J$1="May",X43,IF($J$1="June",X44,IF($J$1="July",X45,IF($J$1="August",X46,IF($J$1="August",X46,IF($J$1="September",X47,IF($J$1="October",X48,IF($J$1="November",X49,IF($J$1="December",X50)))))))))))))</f>
        <v>0</v>
      </c>
      <c r="H46" s="187"/>
      <c r="I46" s="528" t="s">
        <v>112</v>
      </c>
      <c r="J46" s="503"/>
      <c r="K46" s="190">
        <f>G46</f>
        <v>0</v>
      </c>
      <c r="L46" s="196"/>
      <c r="M46" s="158"/>
      <c r="N46" s="175"/>
      <c r="O46" s="176" t="s">
        <v>113</v>
      </c>
      <c r="P46" s="176">
        <v>31</v>
      </c>
      <c r="Q46" s="176">
        <v>0</v>
      </c>
      <c r="R46" s="176">
        <v>0</v>
      </c>
      <c r="S46" s="156"/>
      <c r="T46" s="176" t="s">
        <v>113</v>
      </c>
      <c r="U46" s="182">
        <f>Y45</f>
        <v>6000</v>
      </c>
      <c r="V46" s="178"/>
      <c r="W46" s="182">
        <f t="shared" si="14"/>
        <v>6000</v>
      </c>
      <c r="X46" s="178">
        <v>1000</v>
      </c>
      <c r="Y46" s="182">
        <f t="shared" si="12"/>
        <v>5000</v>
      </c>
      <c r="Z46" s="183"/>
      <c r="AA46" s="158"/>
      <c r="AB46" s="158"/>
      <c r="AC46" s="158"/>
    </row>
    <row r="47" spans="1:29" ht="37.5" x14ac:dyDescent="0.2">
      <c r="A47" s="163"/>
      <c r="B47" s="204" t="s">
        <v>114</v>
      </c>
      <c r="C47" s="195">
        <f>IF($J$1="January",R39,IF($J$1="February",R40,IF($J$1="March",R41,IF($J$1="April",R42,IF($J$1="May",R43,IF($J$1="June",R44,IF($J$1="July",R45,IF($J$1="August",R46,IF($J$1="August",R46,IF($J$1="September",R47,IF($J$1="October",R48,IF($J$1="November",R49,IF($J$1="December",R50)))))))))))))</f>
        <v>0</v>
      </c>
      <c r="D47" s="149"/>
      <c r="E47" s="149"/>
      <c r="F47" s="204" t="s">
        <v>115</v>
      </c>
      <c r="G47" s="190">
        <f>IF($J$1="January",Y39,IF($J$1="February",Y40,IF($J$1="March",Y41,IF($J$1="April",Y42,IF($J$1="May",Y43,IF($J$1="June",Y44,IF($J$1="July",Y45,IF($J$1="August",Y46,IF($J$1="August",Y46,IF($J$1="September",Y47,IF($J$1="October",Y48,IF($J$1="November",Y49,IF($J$1="December",Y50)))))))))))))</f>
        <v>5000</v>
      </c>
      <c r="H47" s="149"/>
      <c r="I47" s="529" t="s">
        <v>13</v>
      </c>
      <c r="J47" s="503"/>
      <c r="K47" s="37">
        <f>K45-K46</f>
        <v>23000</v>
      </c>
      <c r="L47" s="180"/>
      <c r="M47" s="158"/>
      <c r="N47" s="175"/>
      <c r="O47" s="176" t="s">
        <v>116</v>
      </c>
      <c r="P47" s="176">
        <v>30</v>
      </c>
      <c r="Q47" s="176">
        <v>0</v>
      </c>
      <c r="R47" s="176">
        <v>0</v>
      </c>
      <c r="S47" s="156"/>
      <c r="T47" s="176" t="s">
        <v>116</v>
      </c>
      <c r="U47" s="182">
        <f>Y46</f>
        <v>5000</v>
      </c>
      <c r="V47" s="178"/>
      <c r="W47" s="182">
        <f t="shared" si="14"/>
        <v>5000</v>
      </c>
      <c r="X47" s="178">
        <v>0</v>
      </c>
      <c r="Y47" s="182">
        <f t="shared" si="12"/>
        <v>5000</v>
      </c>
      <c r="Z47" s="183"/>
      <c r="AA47" s="158"/>
      <c r="AB47" s="158"/>
      <c r="AC47" s="158"/>
    </row>
    <row r="48" spans="1:29" ht="22.5" x14ac:dyDescent="0.2">
      <c r="A48" s="163"/>
      <c r="B48" s="149"/>
      <c r="C48" s="149"/>
      <c r="D48" s="149"/>
      <c r="E48" s="149"/>
      <c r="F48" s="149"/>
      <c r="G48" s="149"/>
      <c r="H48" s="149"/>
      <c r="I48" s="530"/>
      <c r="J48" s="531"/>
      <c r="K48" s="151"/>
      <c r="L48" s="186"/>
      <c r="M48" s="158"/>
      <c r="N48" s="175"/>
      <c r="O48" s="176" t="s">
        <v>117</v>
      </c>
      <c r="P48" s="176"/>
      <c r="Q48" s="176"/>
      <c r="R48" s="176">
        <v>0</v>
      </c>
      <c r="S48" s="156"/>
      <c r="T48" s="176" t="s">
        <v>117</v>
      </c>
      <c r="U48" s="182"/>
      <c r="V48" s="178"/>
      <c r="W48" s="182" t="str">
        <f t="shared" si="14"/>
        <v/>
      </c>
      <c r="X48" s="178"/>
      <c r="Y48" s="182" t="str">
        <f t="shared" si="12"/>
        <v/>
      </c>
      <c r="Z48" s="183"/>
      <c r="AA48" s="158"/>
      <c r="AB48" s="158"/>
      <c r="AC48" s="158"/>
    </row>
    <row r="49" spans="1:29" ht="22.5" x14ac:dyDescent="0.3">
      <c r="A49" s="163"/>
      <c r="B49" s="147"/>
      <c r="C49" s="147"/>
      <c r="D49" s="147"/>
      <c r="E49" s="147"/>
      <c r="F49" s="147"/>
      <c r="G49" s="147"/>
      <c r="H49" s="147"/>
      <c r="I49" s="530"/>
      <c r="J49" s="530"/>
      <c r="K49" s="151"/>
      <c r="L49" s="186"/>
      <c r="M49" s="158"/>
      <c r="N49" s="175"/>
      <c r="O49" s="176" t="s">
        <v>118</v>
      </c>
      <c r="P49" s="176"/>
      <c r="Q49" s="176"/>
      <c r="R49" s="176" t="str">
        <f t="shared" ref="R49:R50" si="16">IF(Q49="","",R48-Q49)</f>
        <v/>
      </c>
      <c r="S49" s="156"/>
      <c r="T49" s="176" t="s">
        <v>118</v>
      </c>
      <c r="U49" s="182"/>
      <c r="V49" s="178"/>
      <c r="W49" s="182" t="str">
        <f t="shared" si="14"/>
        <v/>
      </c>
      <c r="X49" s="178"/>
      <c r="Y49" s="182" t="str">
        <f t="shared" si="12"/>
        <v/>
      </c>
      <c r="Z49" s="183"/>
      <c r="AA49" s="158"/>
      <c r="AB49" s="158"/>
      <c r="AC49" s="158"/>
    </row>
    <row r="50" spans="1:29" ht="23.25" thickBot="1" x14ac:dyDescent="0.35">
      <c r="A50" s="197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9"/>
      <c r="M50" s="158"/>
      <c r="N50" s="175"/>
      <c r="O50" s="176" t="s">
        <v>119</v>
      </c>
      <c r="P50" s="176"/>
      <c r="Q50" s="176"/>
      <c r="R50" s="176" t="str">
        <f t="shared" si="16"/>
        <v/>
      </c>
      <c r="S50" s="156"/>
      <c r="T50" s="176" t="s">
        <v>119</v>
      </c>
      <c r="U50" s="182"/>
      <c r="V50" s="178"/>
      <c r="W50" s="182" t="str">
        <f t="shared" si="14"/>
        <v/>
      </c>
      <c r="X50" s="178"/>
      <c r="Y50" s="182" t="str">
        <f t="shared" si="12"/>
        <v/>
      </c>
      <c r="Z50" s="183"/>
      <c r="AA50" s="158"/>
      <c r="AB50" s="158"/>
      <c r="AC50" s="158"/>
    </row>
    <row r="51" spans="1:29" ht="23.25" thickBot="1" x14ac:dyDescent="0.25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1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1"/>
      <c r="AB51" s="201"/>
      <c r="AC51" s="201"/>
    </row>
    <row r="52" spans="1:29" ht="23.25" thickBot="1" x14ac:dyDescent="0.25">
      <c r="A52" s="532" t="s">
        <v>87</v>
      </c>
      <c r="B52" s="533"/>
      <c r="C52" s="533"/>
      <c r="D52" s="533"/>
      <c r="E52" s="533"/>
      <c r="F52" s="533"/>
      <c r="G52" s="533"/>
      <c r="H52" s="533"/>
      <c r="I52" s="533"/>
      <c r="J52" s="533"/>
      <c r="K52" s="533"/>
      <c r="L52" s="534"/>
      <c r="M52" s="159"/>
      <c r="N52" s="160"/>
      <c r="O52" s="524" t="s">
        <v>88</v>
      </c>
      <c r="P52" s="525"/>
      <c r="Q52" s="525"/>
      <c r="R52" s="526"/>
      <c r="S52" s="161"/>
      <c r="T52" s="524" t="s">
        <v>89</v>
      </c>
      <c r="U52" s="525"/>
      <c r="V52" s="525"/>
      <c r="W52" s="525"/>
      <c r="X52" s="525"/>
      <c r="Y52" s="526"/>
      <c r="Z52" s="162"/>
      <c r="AA52" s="159"/>
      <c r="AB52" s="158"/>
      <c r="AC52" s="158"/>
    </row>
    <row r="53" spans="1:29" ht="22.5" x14ac:dyDescent="0.2">
      <c r="A53" s="163"/>
      <c r="B53" s="149"/>
      <c r="C53" s="535" t="s">
        <v>123</v>
      </c>
      <c r="D53" s="531"/>
      <c r="E53" s="531"/>
      <c r="F53" s="531"/>
      <c r="G53" s="164" t="str">
        <f>$J$1</f>
        <v>September</v>
      </c>
      <c r="H53" s="536">
        <f>$K$1</f>
        <v>2024</v>
      </c>
      <c r="I53" s="531"/>
      <c r="J53" s="149"/>
      <c r="K53" s="165"/>
      <c r="L53" s="166"/>
      <c r="M53" s="167"/>
      <c r="N53" s="168"/>
      <c r="O53" s="169" t="s">
        <v>91</v>
      </c>
      <c r="P53" s="169" t="s">
        <v>92</v>
      </c>
      <c r="Q53" s="169" t="s">
        <v>93</v>
      </c>
      <c r="R53" s="169" t="s">
        <v>94</v>
      </c>
      <c r="S53" s="170"/>
      <c r="T53" s="169" t="s">
        <v>91</v>
      </c>
      <c r="U53" s="169" t="s">
        <v>95</v>
      </c>
      <c r="V53" s="169" t="s">
        <v>9</v>
      </c>
      <c r="W53" s="169" t="s">
        <v>10</v>
      </c>
      <c r="X53" s="169" t="s">
        <v>11</v>
      </c>
      <c r="Y53" s="169" t="s">
        <v>96</v>
      </c>
      <c r="Z53" s="171"/>
      <c r="AA53" s="167"/>
      <c r="AB53" s="158"/>
      <c r="AC53" s="158"/>
    </row>
    <row r="54" spans="1:29" ht="22.5" x14ac:dyDescent="0.2">
      <c r="A54" s="163"/>
      <c r="B54" s="149"/>
      <c r="C54" s="149"/>
      <c r="D54" s="172"/>
      <c r="E54" s="172"/>
      <c r="F54" s="172"/>
      <c r="G54" s="172"/>
      <c r="H54" s="172"/>
      <c r="I54" s="149"/>
      <c r="J54" s="173" t="s">
        <v>97</v>
      </c>
      <c r="K54" s="151">
        <f>40000+5000+2000+5000</f>
        <v>52000</v>
      </c>
      <c r="L54" s="174"/>
      <c r="M54" s="158"/>
      <c r="N54" s="175"/>
      <c r="O54" s="176" t="s">
        <v>98</v>
      </c>
      <c r="P54" s="176">
        <v>28</v>
      </c>
      <c r="Q54" s="176">
        <v>3</v>
      </c>
      <c r="R54" s="176">
        <f>15-Q54</f>
        <v>12</v>
      </c>
      <c r="S54" s="177"/>
      <c r="T54" s="176" t="s">
        <v>98</v>
      </c>
      <c r="U54" s="178"/>
      <c r="V54" s="178"/>
      <c r="W54" s="178">
        <f>V54+U54</f>
        <v>0</v>
      </c>
      <c r="X54" s="178"/>
      <c r="Y54" s="178">
        <f>W54-X54</f>
        <v>0</v>
      </c>
      <c r="Z54" s="171"/>
      <c r="AA54" s="158"/>
      <c r="AB54" s="158"/>
      <c r="AC54" s="158"/>
    </row>
    <row r="55" spans="1:29" ht="22.5" x14ac:dyDescent="0.2">
      <c r="A55" s="163"/>
      <c r="B55" s="149" t="s">
        <v>99</v>
      </c>
      <c r="C55" s="148" t="s">
        <v>124</v>
      </c>
      <c r="D55" s="149"/>
      <c r="E55" s="149"/>
      <c r="F55" s="149" t="s">
        <v>334</v>
      </c>
      <c r="G55" s="149"/>
      <c r="H55" s="179"/>
      <c r="I55" s="172"/>
      <c r="J55" s="149"/>
      <c r="K55" s="149"/>
      <c r="L55" s="180"/>
      <c r="M55" s="159"/>
      <c r="N55" s="181"/>
      <c r="O55" s="176" t="s">
        <v>100</v>
      </c>
      <c r="P55" s="176">
        <v>29</v>
      </c>
      <c r="Q55" s="176">
        <v>0</v>
      </c>
      <c r="R55" s="176">
        <f t="shared" ref="R55:R63" si="17">IF(Q55="","",R54-Q55)</f>
        <v>12</v>
      </c>
      <c r="S55" s="156"/>
      <c r="T55" s="176" t="s">
        <v>100</v>
      </c>
      <c r="U55" s="182">
        <f t="shared" ref="U55:U60" si="18">Y54</f>
        <v>0</v>
      </c>
      <c r="V55" s="178"/>
      <c r="W55" s="182">
        <f t="shared" ref="W55:W65" si="19">IF(U55="","",U55+V55)</f>
        <v>0</v>
      </c>
      <c r="X55" s="178"/>
      <c r="Y55" s="182">
        <f t="shared" ref="Y55:Y65" si="20">IF(W55="","",W55-X55)</f>
        <v>0</v>
      </c>
      <c r="Z55" s="183"/>
      <c r="AA55" s="159"/>
      <c r="AB55" s="158"/>
      <c r="AC55" s="158"/>
    </row>
    <row r="56" spans="1:29" ht="22.5" x14ac:dyDescent="0.2">
      <c r="A56" s="163"/>
      <c r="B56" s="184" t="s">
        <v>101</v>
      </c>
      <c r="C56" s="185"/>
      <c r="D56" s="149"/>
      <c r="E56" s="149"/>
      <c r="F56" s="529" t="s">
        <v>89</v>
      </c>
      <c r="G56" s="503"/>
      <c r="H56" s="149"/>
      <c r="I56" s="529" t="s">
        <v>102</v>
      </c>
      <c r="J56" s="502"/>
      <c r="K56" s="503"/>
      <c r="L56" s="186"/>
      <c r="M56" s="158"/>
      <c r="N56" s="175"/>
      <c r="O56" s="176" t="s">
        <v>103</v>
      </c>
      <c r="P56" s="176">
        <v>30</v>
      </c>
      <c r="Q56" s="176">
        <v>1</v>
      </c>
      <c r="R56" s="176">
        <f t="shared" si="17"/>
        <v>11</v>
      </c>
      <c r="S56" s="156"/>
      <c r="T56" s="176" t="s">
        <v>103</v>
      </c>
      <c r="U56" s="182">
        <f t="shared" si="18"/>
        <v>0</v>
      </c>
      <c r="V56" s="178"/>
      <c r="W56" s="182">
        <f t="shared" si="19"/>
        <v>0</v>
      </c>
      <c r="X56" s="178"/>
      <c r="Y56" s="182">
        <f t="shared" si="20"/>
        <v>0</v>
      </c>
      <c r="Z56" s="183"/>
      <c r="AA56" s="158"/>
      <c r="AB56" s="158"/>
      <c r="AC56" s="158"/>
    </row>
    <row r="57" spans="1:29" ht="22.5" x14ac:dyDescent="0.2">
      <c r="A57" s="163"/>
      <c r="B57" s="149"/>
      <c r="C57" s="149"/>
      <c r="D57" s="149"/>
      <c r="E57" s="149"/>
      <c r="F57" s="149"/>
      <c r="G57" s="149"/>
      <c r="H57" s="187"/>
      <c r="I57" s="149"/>
      <c r="J57" s="149"/>
      <c r="K57" s="149"/>
      <c r="L57" s="188"/>
      <c r="M57" s="158"/>
      <c r="N57" s="175"/>
      <c r="O57" s="176" t="s">
        <v>104</v>
      </c>
      <c r="P57" s="176">
        <v>29</v>
      </c>
      <c r="Q57" s="176">
        <v>1</v>
      </c>
      <c r="R57" s="176">
        <f t="shared" si="17"/>
        <v>10</v>
      </c>
      <c r="S57" s="156"/>
      <c r="T57" s="176" t="s">
        <v>104</v>
      </c>
      <c r="U57" s="182">
        <f t="shared" si="18"/>
        <v>0</v>
      </c>
      <c r="V57" s="178"/>
      <c r="W57" s="182">
        <f t="shared" si="19"/>
        <v>0</v>
      </c>
      <c r="X57" s="178"/>
      <c r="Y57" s="182">
        <f t="shared" si="20"/>
        <v>0</v>
      </c>
      <c r="Z57" s="183"/>
      <c r="AA57" s="158"/>
      <c r="AB57" s="158"/>
      <c r="AC57" s="158"/>
    </row>
    <row r="58" spans="1:29" ht="22.5" x14ac:dyDescent="0.2">
      <c r="A58" s="163"/>
      <c r="B58" s="527" t="s">
        <v>88</v>
      </c>
      <c r="C58" s="503"/>
      <c r="D58" s="149"/>
      <c r="E58" s="149"/>
      <c r="F58" s="189" t="s">
        <v>105</v>
      </c>
      <c r="G58" s="190">
        <f>IF($J$1="January",U54,IF($J$1="February",U55,IF($J$1="March",U56,IF($J$1="April",U57,IF($J$1="May",U58,IF($J$1="June",U59,IF($J$1="July",U60,IF($J$1="August",U61,IF($J$1="August",U61,IF($J$1="September",U62,IF($J$1="October",U63,IF($J$1="November",U64,IF($J$1="December",U65)))))))))))))</f>
        <v>30000</v>
      </c>
      <c r="H58" s="187"/>
      <c r="I58" s="191">
        <v>30</v>
      </c>
      <c r="J58" s="192" t="s">
        <v>106</v>
      </c>
      <c r="K58" s="193">
        <f>K54/$K$2*I58</f>
        <v>52000</v>
      </c>
      <c r="L58" s="194"/>
      <c r="M58" s="158"/>
      <c r="N58" s="175"/>
      <c r="O58" s="176" t="s">
        <v>107</v>
      </c>
      <c r="P58" s="176">
        <v>31</v>
      </c>
      <c r="Q58" s="176">
        <v>0</v>
      </c>
      <c r="R58" s="176">
        <f t="shared" si="17"/>
        <v>10</v>
      </c>
      <c r="S58" s="156"/>
      <c r="T58" s="176" t="s">
        <v>107</v>
      </c>
      <c r="U58" s="182">
        <f t="shared" si="18"/>
        <v>0</v>
      </c>
      <c r="V58" s="178"/>
      <c r="W58" s="182">
        <f t="shared" si="19"/>
        <v>0</v>
      </c>
      <c r="X58" s="178"/>
      <c r="Y58" s="182">
        <f t="shared" si="20"/>
        <v>0</v>
      </c>
      <c r="Z58" s="183"/>
      <c r="AA58" s="158"/>
      <c r="AB58" s="158"/>
      <c r="AC58" s="158"/>
    </row>
    <row r="59" spans="1:29" ht="22.5" x14ac:dyDescent="0.2">
      <c r="A59" s="163"/>
      <c r="B59" s="195"/>
      <c r="C59" s="195"/>
      <c r="D59" s="149"/>
      <c r="E59" s="149"/>
      <c r="F59" s="189" t="s">
        <v>9</v>
      </c>
      <c r="G59" s="190">
        <f>IF($J$1="January",V54,IF($J$1="February",V55,IF($J$1="March",V56,IF($J$1="April",V57,IF($J$1="May",V58,IF($J$1="June",V59,IF($J$1="July",V60,IF($J$1="August",V61,IF($J$1="August",V61,IF($J$1="September",V62,IF($J$1="October",V63,IF($J$1="November",V64,IF($J$1="December",V65)))))))))))))</f>
        <v>3000</v>
      </c>
      <c r="H59" s="187"/>
      <c r="I59" s="191">
        <v>0</v>
      </c>
      <c r="J59" s="192" t="s">
        <v>108</v>
      </c>
      <c r="K59" s="254">
        <f>K54/$K$2/8*I59</f>
        <v>0</v>
      </c>
      <c r="L59" s="196"/>
      <c r="M59" s="158"/>
      <c r="N59" s="175"/>
      <c r="O59" s="176" t="s">
        <v>84</v>
      </c>
      <c r="P59" s="176">
        <v>30</v>
      </c>
      <c r="Q59" s="176">
        <v>0</v>
      </c>
      <c r="R59" s="176">
        <f t="shared" si="17"/>
        <v>10</v>
      </c>
      <c r="S59" s="156"/>
      <c r="T59" s="176" t="s">
        <v>84</v>
      </c>
      <c r="U59" s="182">
        <f t="shared" si="18"/>
        <v>0</v>
      </c>
      <c r="V59" s="178"/>
      <c r="W59" s="182">
        <f t="shared" si="19"/>
        <v>0</v>
      </c>
      <c r="X59" s="178"/>
      <c r="Y59" s="182">
        <f t="shared" si="20"/>
        <v>0</v>
      </c>
      <c r="Z59" s="183"/>
      <c r="AA59" s="158"/>
      <c r="AB59" s="158"/>
      <c r="AC59" s="158"/>
    </row>
    <row r="60" spans="1:29" ht="22.5" x14ac:dyDescent="0.2">
      <c r="A60" s="163"/>
      <c r="B60" s="189" t="s">
        <v>92</v>
      </c>
      <c r="C60" s="195">
        <f>IF($J$1="January",P54,IF($J$1="February",P55,IF($J$1="March",P56,IF($J$1="April",P57,IF($J$1="May",P58,IF($J$1="June",P59,IF($J$1="July",P60,IF($J$1="August",P61,IF($J$1="August",P61,IF($J$1="September",P62,IF($J$1="October",P63,IF($J$1="November",P64,IF($J$1="December",P65)))))))))))))</f>
        <v>27</v>
      </c>
      <c r="D60" s="149"/>
      <c r="E60" s="149"/>
      <c r="F60" s="189" t="s">
        <v>109</v>
      </c>
      <c r="G60" s="190">
        <f>IF($J$1="January",W54,IF($J$1="February",W55,IF($J$1="March",W56,IF($J$1="April",W57,IF($J$1="May",W58,IF($J$1="June",W59,IF($J$1="July",W60,IF($J$1="August",W61,IF($J$1="August",W61,IF($J$1="September",W62,IF($J$1="October",W63,IF($J$1="November",W64,IF($J$1="December",W65)))))))))))))</f>
        <v>33000</v>
      </c>
      <c r="H60" s="187"/>
      <c r="I60" s="528" t="s">
        <v>110</v>
      </c>
      <c r="J60" s="503"/>
      <c r="K60" s="190">
        <f>K58+K59</f>
        <v>52000</v>
      </c>
      <c r="L60" s="196"/>
      <c r="M60" s="158"/>
      <c r="N60" s="175"/>
      <c r="O60" s="176" t="s">
        <v>111</v>
      </c>
      <c r="P60" s="176">
        <v>30</v>
      </c>
      <c r="Q60" s="176">
        <v>1</v>
      </c>
      <c r="R60" s="176">
        <f t="shared" si="17"/>
        <v>9</v>
      </c>
      <c r="S60" s="156"/>
      <c r="T60" s="176" t="s">
        <v>111</v>
      </c>
      <c r="U60" s="182">
        <f t="shared" si="18"/>
        <v>0</v>
      </c>
      <c r="V60" s="178">
        <v>30000</v>
      </c>
      <c r="W60" s="182">
        <f t="shared" si="19"/>
        <v>30000</v>
      </c>
      <c r="X60" s="178"/>
      <c r="Y60" s="182">
        <f t="shared" si="20"/>
        <v>30000</v>
      </c>
      <c r="Z60" s="183"/>
      <c r="AA60" s="158"/>
      <c r="AB60" s="158"/>
      <c r="AC60" s="158"/>
    </row>
    <row r="61" spans="1:29" ht="22.5" x14ac:dyDescent="0.2">
      <c r="A61" s="163"/>
      <c r="B61" s="189" t="s">
        <v>93</v>
      </c>
      <c r="C61" s="195">
        <f>IF($J$1="January",Q54,IF($J$1="February",Q55,IF($J$1="March",Q56,IF($J$1="April",Q57,IF($J$1="May",Q58,IF($J$1="June",Q59,IF($J$1="July",Q60,IF($J$1="August",Q61,IF($J$1="August",Q61,IF($J$1="September",Q62,IF($J$1="October",Q63,IF($J$1="November",Q64,IF($J$1="December",Q65)))))))))))))</f>
        <v>3</v>
      </c>
      <c r="D61" s="149"/>
      <c r="E61" s="149"/>
      <c r="F61" s="189" t="s">
        <v>11</v>
      </c>
      <c r="G61" s="190">
        <f>IF($J$1="January",X54,IF($J$1="February",X55,IF($J$1="March",X56,IF($J$1="April",X57,IF($J$1="May",X58,IF($J$1="June",X59,IF($J$1="July",X60,IF($J$1="August",X61,IF($J$1="August",X61,IF($J$1="September",X62,IF($J$1="October",X63,IF($J$1="November",X64,IF($J$1="December",X65)))))))))))))</f>
        <v>0</v>
      </c>
      <c r="H61" s="187"/>
      <c r="I61" s="528" t="s">
        <v>112</v>
      </c>
      <c r="J61" s="503"/>
      <c r="K61" s="190">
        <f>G61</f>
        <v>0</v>
      </c>
      <c r="L61" s="196"/>
      <c r="M61" s="158"/>
      <c r="N61" s="175"/>
      <c r="O61" s="176" t="s">
        <v>113</v>
      </c>
      <c r="P61" s="176">
        <v>29</v>
      </c>
      <c r="Q61" s="176">
        <v>2</v>
      </c>
      <c r="R61" s="176">
        <f t="shared" si="17"/>
        <v>7</v>
      </c>
      <c r="S61" s="156"/>
      <c r="T61" s="176" t="s">
        <v>113</v>
      </c>
      <c r="U61" s="182">
        <f>Y60</f>
        <v>30000</v>
      </c>
      <c r="V61" s="178"/>
      <c r="W61" s="182">
        <f t="shared" si="19"/>
        <v>30000</v>
      </c>
      <c r="X61" s="178"/>
      <c r="Y61" s="182">
        <f t="shared" si="20"/>
        <v>30000</v>
      </c>
      <c r="Z61" s="183"/>
      <c r="AA61" s="158"/>
      <c r="AB61" s="158"/>
      <c r="AC61" s="158"/>
    </row>
    <row r="62" spans="1:29" ht="25.15" customHeight="1" x14ac:dyDescent="0.2">
      <c r="A62" s="163"/>
      <c r="B62" s="204" t="s">
        <v>114</v>
      </c>
      <c r="C62" s="195">
        <f>IF($J$1="January",R54,IF($J$1="February",R55,IF($J$1="March",R56,IF($J$1="April",R57,IF($J$1="May",R58,IF($J$1="June",R59,IF($J$1="July",R60,IF($J$1="August",R61,IF($J$1="August",R61,IF($J$1="September",R62,IF($J$1="October",R63,IF($J$1="November",R64,IF($J$1="December",R65)))))))))))))</f>
        <v>4</v>
      </c>
      <c r="D62" s="149"/>
      <c r="E62" s="149"/>
      <c r="F62" s="204" t="s">
        <v>115</v>
      </c>
      <c r="G62" s="190">
        <f>IF($J$1="January",Y54,IF($J$1="February",Y55,IF($J$1="March",Y56,IF($J$1="April",Y57,IF($J$1="May",Y58,IF($J$1="June",Y59,IF($J$1="July",Y60,IF($J$1="August",Y61,IF($J$1="August",Y61,IF($J$1="September",Y62,IF($J$1="October",Y63,IF($J$1="November",Y64,IF($J$1="December",Y65)))))))))))))</f>
        <v>33000</v>
      </c>
      <c r="H62" s="149"/>
      <c r="I62" s="529" t="s">
        <v>13</v>
      </c>
      <c r="J62" s="503"/>
      <c r="K62" s="37">
        <f>K60-K61</f>
        <v>52000</v>
      </c>
      <c r="L62" s="180"/>
      <c r="M62" s="158"/>
      <c r="N62" s="175"/>
      <c r="O62" s="176" t="s">
        <v>116</v>
      </c>
      <c r="P62" s="176">
        <v>27</v>
      </c>
      <c r="Q62" s="176">
        <v>3</v>
      </c>
      <c r="R62" s="176">
        <f t="shared" si="17"/>
        <v>4</v>
      </c>
      <c r="S62" s="156"/>
      <c r="T62" s="176" t="s">
        <v>116</v>
      </c>
      <c r="U62" s="182">
        <f>Y61</f>
        <v>30000</v>
      </c>
      <c r="V62" s="178">
        <v>3000</v>
      </c>
      <c r="W62" s="182">
        <f t="shared" si="19"/>
        <v>33000</v>
      </c>
      <c r="X62" s="178">
        <v>0</v>
      </c>
      <c r="Y62" s="182">
        <f t="shared" si="20"/>
        <v>33000</v>
      </c>
      <c r="Z62" s="183"/>
      <c r="AA62" s="158"/>
      <c r="AB62" s="158"/>
      <c r="AC62" s="158"/>
    </row>
    <row r="63" spans="1:29" ht="22.5" x14ac:dyDescent="0.2">
      <c r="A63" s="163"/>
      <c r="B63" s="149"/>
      <c r="C63" s="149"/>
      <c r="D63" s="149"/>
      <c r="E63" s="149"/>
      <c r="F63" s="149"/>
      <c r="G63" s="149"/>
      <c r="H63" s="149"/>
      <c r="I63" s="530"/>
      <c r="J63" s="531"/>
      <c r="K63" s="151"/>
      <c r="L63" s="186"/>
      <c r="M63" s="158"/>
      <c r="N63" s="175"/>
      <c r="O63" s="176" t="s">
        <v>117</v>
      </c>
      <c r="P63" s="176"/>
      <c r="Q63" s="176"/>
      <c r="R63" s="176" t="str">
        <f t="shared" si="17"/>
        <v/>
      </c>
      <c r="S63" s="156"/>
      <c r="T63" s="176" t="s">
        <v>117</v>
      </c>
      <c r="U63" s="182"/>
      <c r="V63" s="178"/>
      <c r="W63" s="182" t="str">
        <f t="shared" si="19"/>
        <v/>
      </c>
      <c r="X63" s="178"/>
      <c r="Y63" s="182" t="str">
        <f t="shared" si="20"/>
        <v/>
      </c>
      <c r="Z63" s="183"/>
      <c r="AA63" s="158"/>
      <c r="AB63" s="158"/>
      <c r="AC63" s="158"/>
    </row>
    <row r="64" spans="1:29" ht="22.5" x14ac:dyDescent="0.2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158"/>
      <c r="N64" s="175"/>
      <c r="O64" s="176" t="s">
        <v>118</v>
      </c>
      <c r="P64" s="176"/>
      <c r="Q64" s="176"/>
      <c r="R64" s="176"/>
      <c r="S64" s="156"/>
      <c r="T64" s="176" t="s">
        <v>118</v>
      </c>
      <c r="U64" s="182"/>
      <c r="V64" s="178"/>
      <c r="W64" s="182" t="str">
        <f t="shared" si="19"/>
        <v/>
      </c>
      <c r="X64" s="178"/>
      <c r="Y64" s="182" t="str">
        <f t="shared" si="20"/>
        <v/>
      </c>
      <c r="Z64" s="183"/>
      <c r="AA64" s="158"/>
      <c r="AB64" s="158"/>
      <c r="AC64" s="158"/>
    </row>
    <row r="65" spans="1:29" ht="22.5" x14ac:dyDescent="0.2">
      <c r="A65" s="492"/>
      <c r="B65" s="492"/>
      <c r="C65" s="492"/>
      <c r="D65" s="492"/>
      <c r="E65" s="492"/>
      <c r="F65" s="492"/>
      <c r="G65" s="492"/>
      <c r="H65" s="492"/>
      <c r="I65" s="492"/>
      <c r="J65" s="492"/>
      <c r="K65" s="492"/>
      <c r="L65" s="492"/>
      <c r="M65" s="158"/>
      <c r="N65" s="175"/>
      <c r="O65" s="176" t="s">
        <v>119</v>
      </c>
      <c r="P65" s="176"/>
      <c r="Q65" s="176"/>
      <c r="R65" s="176" t="str">
        <f>IF(Q65="","",R64-Q65)</f>
        <v/>
      </c>
      <c r="S65" s="156"/>
      <c r="T65" s="176" t="s">
        <v>119</v>
      </c>
      <c r="U65" s="182"/>
      <c r="V65" s="178"/>
      <c r="W65" s="182" t="str">
        <f t="shared" si="19"/>
        <v/>
      </c>
      <c r="X65" s="178"/>
      <c r="Y65" s="182" t="str">
        <f t="shared" si="20"/>
        <v/>
      </c>
      <c r="Z65" s="183"/>
      <c r="AA65" s="158"/>
      <c r="AB65" s="158"/>
      <c r="AC65" s="158"/>
    </row>
    <row r="66" spans="1:29" ht="23.25" thickBot="1" x14ac:dyDescent="0.25">
      <c r="A66" s="492"/>
      <c r="B66" s="492"/>
      <c r="C66" s="492"/>
      <c r="D66" s="492"/>
      <c r="E66" s="492"/>
      <c r="F66" s="492"/>
      <c r="G66" s="492"/>
      <c r="H66" s="492"/>
      <c r="I66" s="492"/>
      <c r="J66" s="492"/>
      <c r="K66" s="492"/>
      <c r="L66" s="492"/>
      <c r="M66" s="201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1"/>
      <c r="AB66" s="201"/>
      <c r="AC66" s="201"/>
    </row>
    <row r="67" spans="1:29" ht="23.25" thickBot="1" x14ac:dyDescent="0.25">
      <c r="A67" s="532" t="s">
        <v>87</v>
      </c>
      <c r="B67" s="533"/>
      <c r="C67" s="533"/>
      <c r="D67" s="533"/>
      <c r="E67" s="533"/>
      <c r="F67" s="533"/>
      <c r="G67" s="533"/>
      <c r="H67" s="533"/>
      <c r="I67" s="533"/>
      <c r="J67" s="533"/>
      <c r="K67" s="533"/>
      <c r="L67" s="534"/>
      <c r="M67" s="159"/>
      <c r="N67" s="160"/>
      <c r="O67" s="524" t="s">
        <v>88</v>
      </c>
      <c r="P67" s="525"/>
      <c r="Q67" s="525"/>
      <c r="R67" s="526"/>
      <c r="S67" s="161"/>
      <c r="T67" s="524" t="s">
        <v>89</v>
      </c>
      <c r="U67" s="525"/>
      <c r="V67" s="525"/>
      <c r="W67" s="525"/>
      <c r="X67" s="525"/>
      <c r="Y67" s="526"/>
      <c r="Z67" s="162"/>
      <c r="AA67" s="158"/>
      <c r="AB67" s="158"/>
      <c r="AC67" s="158"/>
    </row>
    <row r="68" spans="1:29" ht="22.5" x14ac:dyDescent="0.2">
      <c r="A68" s="163"/>
      <c r="B68" s="149"/>
      <c r="C68" s="535" t="s">
        <v>125</v>
      </c>
      <c r="D68" s="531"/>
      <c r="E68" s="531"/>
      <c r="F68" s="531"/>
      <c r="G68" s="164" t="str">
        <f>$J$1</f>
        <v>September</v>
      </c>
      <c r="H68" s="536">
        <f>$K$1</f>
        <v>2024</v>
      </c>
      <c r="I68" s="531"/>
      <c r="J68" s="149"/>
      <c r="K68" s="165"/>
      <c r="L68" s="166"/>
      <c r="M68" s="167"/>
      <c r="N68" s="168"/>
      <c r="O68" s="169" t="s">
        <v>91</v>
      </c>
      <c r="P68" s="169" t="s">
        <v>92</v>
      </c>
      <c r="Q68" s="169" t="s">
        <v>93</v>
      </c>
      <c r="R68" s="169" t="s">
        <v>94</v>
      </c>
      <c r="S68" s="170"/>
      <c r="T68" s="169" t="s">
        <v>91</v>
      </c>
      <c r="U68" s="169" t="s">
        <v>95</v>
      </c>
      <c r="V68" s="169" t="s">
        <v>9</v>
      </c>
      <c r="W68" s="169" t="s">
        <v>10</v>
      </c>
      <c r="X68" s="169" t="s">
        <v>11</v>
      </c>
      <c r="Y68" s="169" t="s">
        <v>96</v>
      </c>
      <c r="Z68" s="171"/>
      <c r="AA68" s="158"/>
      <c r="AB68" s="158"/>
      <c r="AC68" s="158"/>
    </row>
    <row r="69" spans="1:29" ht="22.5" x14ac:dyDescent="0.2">
      <c r="A69" s="163"/>
      <c r="B69" s="149"/>
      <c r="C69" s="149"/>
      <c r="D69" s="172"/>
      <c r="E69" s="172"/>
      <c r="F69" s="172"/>
      <c r="G69" s="172"/>
      <c r="H69" s="172"/>
      <c r="I69" s="149"/>
      <c r="J69" s="173" t="s">
        <v>97</v>
      </c>
      <c r="K69" s="151">
        <f>50000+15000+15000+10000</f>
        <v>90000</v>
      </c>
      <c r="L69" s="174"/>
      <c r="M69" s="158"/>
      <c r="N69" s="175"/>
      <c r="O69" s="176" t="s">
        <v>98</v>
      </c>
      <c r="P69" s="176">
        <v>31</v>
      </c>
      <c r="Q69" s="176">
        <v>0</v>
      </c>
      <c r="R69" s="176">
        <v>0</v>
      </c>
      <c r="S69" s="177"/>
      <c r="T69" s="176" t="s">
        <v>98</v>
      </c>
      <c r="U69" s="178">
        <v>40000</v>
      </c>
      <c r="V69" s="178">
        <v>4000</v>
      </c>
      <c r="W69" s="178">
        <f>V69+U69</f>
        <v>44000</v>
      </c>
      <c r="X69" s="178">
        <v>4000</v>
      </c>
      <c r="Y69" s="178">
        <f>W69-X69</f>
        <v>40000</v>
      </c>
      <c r="Z69" s="171"/>
      <c r="AA69" s="158"/>
      <c r="AB69" s="158"/>
      <c r="AC69" s="158"/>
    </row>
    <row r="70" spans="1:29" ht="22.5" x14ac:dyDescent="0.2">
      <c r="A70" s="163"/>
      <c r="B70" s="149" t="s">
        <v>99</v>
      </c>
      <c r="C70" s="148" t="s">
        <v>126</v>
      </c>
      <c r="D70" s="149"/>
      <c r="E70" s="149"/>
      <c r="F70" s="149"/>
      <c r="G70" s="149"/>
      <c r="H70" s="179"/>
      <c r="I70" s="172"/>
      <c r="J70" s="149"/>
      <c r="K70" s="149"/>
      <c r="L70" s="180"/>
      <c r="M70" s="159"/>
      <c r="N70" s="181"/>
      <c r="O70" s="176" t="s">
        <v>100</v>
      </c>
      <c r="P70" s="176">
        <v>29</v>
      </c>
      <c r="Q70" s="176">
        <v>0</v>
      </c>
      <c r="R70" s="176">
        <v>0</v>
      </c>
      <c r="S70" s="156"/>
      <c r="T70" s="176" t="s">
        <v>100</v>
      </c>
      <c r="U70" s="182">
        <f t="shared" ref="U70:U71" si="21">Y69</f>
        <v>40000</v>
      </c>
      <c r="V70" s="178"/>
      <c r="W70" s="182">
        <f t="shared" ref="W70:W73" si="22">IF(U70="","",U70+V70)</f>
        <v>40000</v>
      </c>
      <c r="X70" s="178">
        <v>3000</v>
      </c>
      <c r="Y70" s="182">
        <f t="shared" ref="Y70:Y80" si="23">IF(W70="","",W70-X70)</f>
        <v>37000</v>
      </c>
      <c r="Z70" s="183"/>
      <c r="AA70" s="158"/>
      <c r="AB70" s="158"/>
      <c r="AC70" s="158"/>
    </row>
    <row r="71" spans="1:29" ht="22.5" x14ac:dyDescent="0.2">
      <c r="A71" s="163"/>
      <c r="B71" s="184"/>
      <c r="C71" s="185"/>
      <c r="D71" s="149"/>
      <c r="E71" s="149"/>
      <c r="F71" s="529" t="s">
        <v>89</v>
      </c>
      <c r="G71" s="503"/>
      <c r="H71" s="149"/>
      <c r="I71" s="529" t="s">
        <v>102</v>
      </c>
      <c r="J71" s="502"/>
      <c r="K71" s="503"/>
      <c r="L71" s="186"/>
      <c r="M71" s="158"/>
      <c r="N71" s="175"/>
      <c r="O71" s="176" t="s">
        <v>103</v>
      </c>
      <c r="P71" s="205">
        <v>30</v>
      </c>
      <c r="Q71" s="205">
        <v>1</v>
      </c>
      <c r="R71" s="176">
        <f>15-Q71</f>
        <v>14</v>
      </c>
      <c r="S71" s="156"/>
      <c r="T71" s="176" t="s">
        <v>103</v>
      </c>
      <c r="U71" s="182">
        <f t="shared" si="21"/>
        <v>37000</v>
      </c>
      <c r="V71" s="178"/>
      <c r="W71" s="182">
        <f t="shared" si="22"/>
        <v>37000</v>
      </c>
      <c r="X71" s="178">
        <v>2000</v>
      </c>
      <c r="Y71" s="182">
        <f t="shared" si="23"/>
        <v>35000</v>
      </c>
      <c r="Z71" s="183"/>
      <c r="AA71" s="158"/>
      <c r="AB71" s="158"/>
      <c r="AC71" s="158"/>
    </row>
    <row r="72" spans="1:29" ht="22.5" x14ac:dyDescent="0.2">
      <c r="A72" s="163"/>
      <c r="B72" s="149"/>
      <c r="C72" s="149"/>
      <c r="D72" s="149"/>
      <c r="E72" s="149"/>
      <c r="F72" s="149"/>
      <c r="G72" s="149"/>
      <c r="H72" s="187"/>
      <c r="I72" s="149"/>
      <c r="J72" s="149"/>
      <c r="K72" s="149"/>
      <c r="L72" s="188"/>
      <c r="M72" s="158"/>
      <c r="N72" s="175"/>
      <c r="O72" s="176" t="s">
        <v>104</v>
      </c>
      <c r="P72" s="176">
        <v>30</v>
      </c>
      <c r="Q72" s="176">
        <v>0</v>
      </c>
      <c r="R72" s="176">
        <f t="shared" ref="R72:R76" si="24">R71-Q72</f>
        <v>14</v>
      </c>
      <c r="S72" s="156"/>
      <c r="T72" s="176" t="s">
        <v>104</v>
      </c>
      <c r="U72" s="182">
        <f>IF($J$1="March","",Y71)</f>
        <v>35000</v>
      </c>
      <c r="V72" s="178"/>
      <c r="W72" s="182">
        <f t="shared" si="22"/>
        <v>35000</v>
      </c>
      <c r="X72" s="178"/>
      <c r="Y72" s="182">
        <f t="shared" si="23"/>
        <v>35000</v>
      </c>
      <c r="Z72" s="183"/>
      <c r="AA72" s="158"/>
      <c r="AB72" s="158"/>
      <c r="AC72" s="158"/>
    </row>
    <row r="73" spans="1:29" ht="22.5" x14ac:dyDescent="0.2">
      <c r="A73" s="163"/>
      <c r="B73" s="527" t="s">
        <v>88</v>
      </c>
      <c r="C73" s="503"/>
      <c r="D73" s="149"/>
      <c r="E73" s="149"/>
      <c r="F73" s="189" t="s">
        <v>105</v>
      </c>
      <c r="G73" s="190">
        <f>IF($J$1="January",U69,IF($J$1="February",U70,IF($J$1="March",U71,IF($J$1="April",U72,IF($J$1="May",U73,IF($J$1="June",U74,IF($J$1="July",U75,IF($J$1="August",U76,IF($J$1="August",U76,IF($J$1="September",U77,IF($J$1="October",U78,IF($J$1="November",U79,IF($J$1="December",U80)))))))))))))</f>
        <v>32000</v>
      </c>
      <c r="H73" s="187"/>
      <c r="I73" s="191">
        <v>30</v>
      </c>
      <c r="J73" s="192" t="s">
        <v>106</v>
      </c>
      <c r="K73" s="193">
        <f>K69/$K$2*I73</f>
        <v>90000</v>
      </c>
      <c r="L73" s="194"/>
      <c r="M73" s="158"/>
      <c r="N73" s="175"/>
      <c r="O73" s="176" t="s">
        <v>107</v>
      </c>
      <c r="P73" s="176">
        <v>31</v>
      </c>
      <c r="Q73" s="176">
        <v>0</v>
      </c>
      <c r="R73" s="176">
        <f t="shared" si="24"/>
        <v>14</v>
      </c>
      <c r="S73" s="156"/>
      <c r="T73" s="176" t="s">
        <v>107</v>
      </c>
      <c r="U73" s="182">
        <f>IF($J$1="April","",Y72)</f>
        <v>35000</v>
      </c>
      <c r="V73" s="178"/>
      <c r="W73" s="182">
        <f t="shared" si="22"/>
        <v>35000</v>
      </c>
      <c r="X73" s="178"/>
      <c r="Y73" s="182">
        <f t="shared" si="23"/>
        <v>35000</v>
      </c>
      <c r="Z73" s="183"/>
      <c r="AA73" s="158"/>
      <c r="AB73" s="158"/>
      <c r="AC73" s="158"/>
    </row>
    <row r="74" spans="1:29" ht="22.5" x14ac:dyDescent="0.2">
      <c r="A74" s="163"/>
      <c r="B74" s="195"/>
      <c r="C74" s="195"/>
      <c r="D74" s="149"/>
      <c r="E74" s="149"/>
      <c r="F74" s="189" t="s">
        <v>9</v>
      </c>
      <c r="G74" s="190">
        <f>IF($J$1="January",V69,IF($J$1="February",V70,IF($J$1="March",V71,IF($J$1="April",V72,IF($J$1="May",V73,IF($J$1="June",V74,IF($J$1="July",V75,IF($J$1="August",V76,IF($J$1="August",V76,IF($J$1="September",V77,IF($J$1="October",V78,IF($J$1="November",V79,IF($J$1="December",V80)))))))))))))</f>
        <v>7000</v>
      </c>
      <c r="H74" s="187"/>
      <c r="I74" s="191">
        <v>0</v>
      </c>
      <c r="J74" s="192" t="s">
        <v>108</v>
      </c>
      <c r="K74" s="190">
        <f>K69/$K$2/8*I74</f>
        <v>0</v>
      </c>
      <c r="L74" s="196"/>
      <c r="M74" s="158"/>
      <c r="N74" s="175"/>
      <c r="O74" s="176" t="s">
        <v>84</v>
      </c>
      <c r="P74" s="176">
        <v>28</v>
      </c>
      <c r="Q74" s="176">
        <v>2</v>
      </c>
      <c r="R74" s="176">
        <f t="shared" si="24"/>
        <v>12</v>
      </c>
      <c r="S74" s="156"/>
      <c r="T74" s="176" t="s">
        <v>84</v>
      </c>
      <c r="U74" s="182">
        <f>Y73</f>
        <v>35000</v>
      </c>
      <c r="V74" s="178"/>
      <c r="W74" s="182">
        <f>V74+U74</f>
        <v>35000</v>
      </c>
      <c r="X74" s="178">
        <v>1500</v>
      </c>
      <c r="Y74" s="182">
        <f t="shared" si="23"/>
        <v>33500</v>
      </c>
      <c r="Z74" s="183"/>
      <c r="AA74" s="158"/>
      <c r="AB74" s="158"/>
      <c r="AC74" s="158"/>
    </row>
    <row r="75" spans="1:29" ht="22.5" x14ac:dyDescent="0.2">
      <c r="A75" s="163"/>
      <c r="B75" s="189" t="s">
        <v>92</v>
      </c>
      <c r="C75" s="195">
        <f>IF($J$1="January",P69,IF($J$1="February",P70,IF($J$1="March",P71,IF($J$1="April",P72,IF($J$1="May",P73,IF($J$1="June",P74,IF($J$1="July",P75,IF($J$1="August",P76,IF($J$1="August",P76,IF($J$1="September",P77,IF($J$1="October",P78,IF($J$1="November",P79,IF($J$1="December",P80)))))))))))))</f>
        <v>30</v>
      </c>
      <c r="D75" s="149"/>
      <c r="E75" s="149"/>
      <c r="F75" s="189" t="s">
        <v>109</v>
      </c>
      <c r="G75" s="190">
        <f>IF($J$1="January",W69,IF($J$1="February",W70,IF($J$1="March",W71,IF($J$1="April",W72,IF($J$1="May",W73,IF($J$1="June",W74,IF($J$1="July",W75,IF($J$1="August",W76,IF($J$1="August",W76,IF($J$1="September",W77,IF($J$1="October",W78,IF($J$1="November",W79,IF($J$1="December",W80)))))))))))))</f>
        <v>39000</v>
      </c>
      <c r="H75" s="187"/>
      <c r="I75" s="528" t="s">
        <v>110</v>
      </c>
      <c r="J75" s="503"/>
      <c r="K75" s="190">
        <f>K73+K74</f>
        <v>90000</v>
      </c>
      <c r="L75" s="196"/>
      <c r="M75" s="158"/>
      <c r="N75" s="175"/>
      <c r="O75" s="176" t="s">
        <v>111</v>
      </c>
      <c r="P75" s="176">
        <v>31</v>
      </c>
      <c r="Q75" s="176">
        <v>0</v>
      </c>
      <c r="R75" s="176">
        <f t="shared" si="24"/>
        <v>12</v>
      </c>
      <c r="S75" s="156"/>
      <c r="T75" s="176" t="s">
        <v>111</v>
      </c>
      <c r="U75" s="182">
        <f>Y74</f>
        <v>33500</v>
      </c>
      <c r="V75" s="178">
        <f>5000+30000</f>
        <v>35000</v>
      </c>
      <c r="W75" s="182">
        <f>V75+U75</f>
        <v>68500</v>
      </c>
      <c r="X75" s="178">
        <v>35000</v>
      </c>
      <c r="Y75" s="182">
        <f t="shared" si="23"/>
        <v>33500</v>
      </c>
      <c r="Z75" s="183"/>
      <c r="AA75" s="158"/>
      <c r="AB75" s="158"/>
      <c r="AC75" s="158"/>
    </row>
    <row r="76" spans="1:29" ht="22.5" x14ac:dyDescent="0.2">
      <c r="A76" s="163"/>
      <c r="B76" s="189" t="s">
        <v>93</v>
      </c>
      <c r="C76" s="195">
        <f>IF($J$1="January",Q69,IF($J$1="February",Q70,IF($J$1="March",Q71,IF($J$1="April",Q72,IF($J$1="May",Q73,IF($J$1="June",Q74,IF($J$1="July",Q75,IF($J$1="August",Q76,IF($J$1="August",Q76,IF($J$1="September",Q77,IF($J$1="October",Q78,IF($J$1="November",Q79,IF($J$1="December",Q80)))))))))))))</f>
        <v>0</v>
      </c>
      <c r="D76" s="149"/>
      <c r="E76" s="149"/>
      <c r="F76" s="189" t="s">
        <v>11</v>
      </c>
      <c r="G76" s="190">
        <f>IF($J$1="January",X69,IF($J$1="February",X70,IF($J$1="March",X71,IF($J$1="April",X72,IF($J$1="May",X73,IF($J$1="June",X74,IF($J$1="July",X75,IF($J$1="August",X76,IF($J$1="August",X76,IF($J$1="September",X77,IF($J$1="October",X78,IF($J$1="November",X79,IF($J$1="December",X80)))))))))))))</f>
        <v>7000</v>
      </c>
      <c r="H76" s="187"/>
      <c r="I76" s="528" t="s">
        <v>112</v>
      </c>
      <c r="J76" s="503"/>
      <c r="K76" s="190">
        <f>G76</f>
        <v>7000</v>
      </c>
      <c r="L76" s="196"/>
      <c r="M76" s="158"/>
      <c r="N76" s="175"/>
      <c r="O76" s="176" t="s">
        <v>113</v>
      </c>
      <c r="P76" s="176">
        <v>29</v>
      </c>
      <c r="Q76" s="176">
        <v>2</v>
      </c>
      <c r="R76" s="176">
        <f t="shared" si="24"/>
        <v>10</v>
      </c>
      <c r="S76" s="156"/>
      <c r="T76" s="176" t="s">
        <v>113</v>
      </c>
      <c r="U76" s="182">
        <f>IF($J$1="July","",Y75)</f>
        <v>33500</v>
      </c>
      <c r="V76" s="178"/>
      <c r="W76" s="182">
        <f t="shared" ref="W76:W80" si="25">IF(U76="","",U76+V76)</f>
        <v>33500</v>
      </c>
      <c r="X76" s="178">
        <v>1500</v>
      </c>
      <c r="Y76" s="182">
        <f t="shared" si="23"/>
        <v>32000</v>
      </c>
      <c r="Z76" s="183"/>
      <c r="AA76" s="158"/>
      <c r="AB76" s="158"/>
      <c r="AC76" s="158"/>
    </row>
    <row r="77" spans="1:29" ht="37.5" x14ac:dyDescent="0.2">
      <c r="A77" s="163"/>
      <c r="B77" s="204" t="s">
        <v>114</v>
      </c>
      <c r="C77" s="195">
        <f>IF($J$1="January",R69,IF($J$1="February",R70,IF($J$1="March",R71,IF($J$1="April",R72,IF($J$1="May",R73,IF($J$1="June",R74,IF($J$1="July",R75,IF($J$1="August",R76,IF($J$1="August",R76,IF($J$1="September",R77,IF($J$1="October",R78,IF($J$1="November",R79,IF($J$1="December",R80)))))))))))))</f>
        <v>0</v>
      </c>
      <c r="D77" s="149"/>
      <c r="E77" s="149"/>
      <c r="F77" s="204" t="s">
        <v>115</v>
      </c>
      <c r="G77" s="190">
        <f>IF($J$1="January",Y69,IF($J$1="February",Y70,IF($J$1="March",Y71,IF($J$1="April",Y72,IF($J$1="May",Y73,IF($J$1="June",Y74,IF($J$1="July",Y75,IF($J$1="August",Y76,IF($J$1="August",Y76,IF($J$1="September",Y77,IF($J$1="October",Y78,IF($J$1="November",Y79,IF($J$1="December",Y80)))))))))))))</f>
        <v>32000</v>
      </c>
      <c r="H77" s="149"/>
      <c r="I77" s="529" t="s">
        <v>13</v>
      </c>
      <c r="J77" s="503"/>
      <c r="K77" s="37">
        <f>K75-K76</f>
        <v>83000</v>
      </c>
      <c r="L77" s="180"/>
      <c r="M77" s="158"/>
      <c r="N77" s="175"/>
      <c r="O77" s="176" t="s">
        <v>116</v>
      </c>
      <c r="P77" s="176">
        <v>30</v>
      </c>
      <c r="Q77" s="176">
        <v>0</v>
      </c>
      <c r="R77" s="176">
        <v>0</v>
      </c>
      <c r="S77" s="156"/>
      <c r="T77" s="176" t="s">
        <v>116</v>
      </c>
      <c r="U77" s="182">
        <f>IF($J$1="July","",Y76)</f>
        <v>32000</v>
      </c>
      <c r="V77" s="178">
        <v>7000</v>
      </c>
      <c r="W77" s="182">
        <f t="shared" si="25"/>
        <v>39000</v>
      </c>
      <c r="X77" s="178">
        <v>7000</v>
      </c>
      <c r="Y77" s="182">
        <f t="shared" si="23"/>
        <v>32000</v>
      </c>
      <c r="Z77" s="183"/>
      <c r="AA77" s="158"/>
      <c r="AB77" s="158"/>
      <c r="AC77" s="158"/>
    </row>
    <row r="78" spans="1:29" ht="22.5" x14ac:dyDescent="0.2">
      <c r="A78" s="163"/>
      <c r="B78" s="149"/>
      <c r="C78" s="149"/>
      <c r="D78" s="149"/>
      <c r="E78" s="149"/>
      <c r="F78" s="149"/>
      <c r="G78" s="149"/>
      <c r="H78" s="149"/>
      <c r="I78" s="530"/>
      <c r="J78" s="531"/>
      <c r="K78" s="151"/>
      <c r="L78" s="186"/>
      <c r="M78" s="158"/>
      <c r="N78" s="175"/>
      <c r="O78" s="176" t="s">
        <v>117</v>
      </c>
      <c r="P78" s="176"/>
      <c r="Q78" s="176"/>
      <c r="R78" s="176">
        <v>0</v>
      </c>
      <c r="S78" s="156"/>
      <c r="T78" s="176" t="s">
        <v>117</v>
      </c>
      <c r="U78" s="182"/>
      <c r="V78" s="178"/>
      <c r="W78" s="182" t="str">
        <f t="shared" si="25"/>
        <v/>
      </c>
      <c r="X78" s="178"/>
      <c r="Y78" s="182" t="str">
        <f t="shared" si="23"/>
        <v/>
      </c>
      <c r="Z78" s="183"/>
      <c r="AA78" s="158"/>
      <c r="AB78" s="158"/>
      <c r="AC78" s="158"/>
    </row>
    <row r="79" spans="1:29" ht="22.5" x14ac:dyDescent="0.2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158"/>
      <c r="N79" s="175"/>
      <c r="O79" s="176" t="s">
        <v>118</v>
      </c>
      <c r="P79" s="176"/>
      <c r="Q79" s="176"/>
      <c r="R79" s="176">
        <v>0</v>
      </c>
      <c r="S79" s="156"/>
      <c r="T79" s="176" t="s">
        <v>118</v>
      </c>
      <c r="U79" s="182"/>
      <c r="V79" s="178"/>
      <c r="W79" s="182" t="str">
        <f t="shared" si="25"/>
        <v/>
      </c>
      <c r="X79" s="178"/>
      <c r="Y79" s="182" t="str">
        <f t="shared" si="23"/>
        <v/>
      </c>
      <c r="Z79" s="183"/>
      <c r="AA79" s="158"/>
      <c r="AB79" s="158"/>
      <c r="AC79" s="158"/>
    </row>
    <row r="80" spans="1:29" ht="22.5" x14ac:dyDescent="0.2">
      <c r="A80" s="492"/>
      <c r="B80" s="492"/>
      <c r="C80" s="492"/>
      <c r="D80" s="492"/>
      <c r="E80" s="492"/>
      <c r="F80" s="492"/>
      <c r="G80" s="492"/>
      <c r="H80" s="492"/>
      <c r="I80" s="492"/>
      <c r="J80" s="492"/>
      <c r="K80" s="492"/>
      <c r="L80" s="492"/>
      <c r="M80" s="158"/>
      <c r="N80" s="175"/>
      <c r="O80" s="176" t="s">
        <v>119</v>
      </c>
      <c r="P80" s="176"/>
      <c r="Q80" s="176"/>
      <c r="R80" s="176">
        <v>0</v>
      </c>
      <c r="S80" s="156"/>
      <c r="T80" s="176" t="s">
        <v>119</v>
      </c>
      <c r="U80" s="182"/>
      <c r="V80" s="178"/>
      <c r="W80" s="182" t="str">
        <f t="shared" si="25"/>
        <v/>
      </c>
      <c r="X80" s="178"/>
      <c r="Y80" s="182" t="str">
        <f t="shared" si="23"/>
        <v/>
      </c>
      <c r="Z80" s="183"/>
      <c r="AA80" s="158"/>
      <c r="AB80" s="158"/>
      <c r="AC80" s="158"/>
    </row>
    <row r="81" spans="1:29" ht="18" customHeight="1" thickBot="1" x14ac:dyDescent="0.25">
      <c r="A81" s="492"/>
      <c r="B81" s="492"/>
      <c r="C81" s="492"/>
      <c r="D81" s="492"/>
      <c r="E81" s="492"/>
      <c r="F81" s="492"/>
      <c r="G81" s="492"/>
      <c r="H81" s="492"/>
      <c r="I81" s="492"/>
      <c r="J81" s="492"/>
      <c r="K81" s="492"/>
      <c r="L81" s="492"/>
      <c r="M81" s="201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1"/>
      <c r="AB81" s="201"/>
      <c r="AC81" s="201"/>
    </row>
    <row r="82" spans="1:29" ht="18" customHeight="1" thickBot="1" x14ac:dyDescent="0.25">
      <c r="A82" s="532" t="s">
        <v>87</v>
      </c>
      <c r="B82" s="533"/>
      <c r="C82" s="533"/>
      <c r="D82" s="533"/>
      <c r="E82" s="533"/>
      <c r="F82" s="533"/>
      <c r="G82" s="533"/>
      <c r="H82" s="533"/>
      <c r="I82" s="533"/>
      <c r="J82" s="533"/>
      <c r="K82" s="533"/>
      <c r="L82" s="534"/>
      <c r="M82" s="159"/>
      <c r="N82" s="160"/>
      <c r="O82" s="524" t="s">
        <v>88</v>
      </c>
      <c r="P82" s="525"/>
      <c r="Q82" s="525"/>
      <c r="R82" s="526"/>
      <c r="S82" s="161"/>
      <c r="T82" s="524" t="s">
        <v>89</v>
      </c>
      <c r="U82" s="525"/>
      <c r="V82" s="525"/>
      <c r="W82" s="525"/>
      <c r="X82" s="525"/>
      <c r="Y82" s="526"/>
      <c r="Z82" s="162"/>
      <c r="AA82" s="159"/>
      <c r="AB82" s="158"/>
      <c r="AC82" s="158"/>
    </row>
    <row r="83" spans="1:29" ht="18" customHeight="1" x14ac:dyDescent="0.2">
      <c r="A83" s="163"/>
      <c r="B83" s="149"/>
      <c r="C83" s="535" t="s">
        <v>127</v>
      </c>
      <c r="D83" s="531"/>
      <c r="E83" s="531"/>
      <c r="F83" s="531"/>
      <c r="G83" s="164" t="str">
        <f>$J$1</f>
        <v>September</v>
      </c>
      <c r="H83" s="536">
        <f>$K$1</f>
        <v>2024</v>
      </c>
      <c r="I83" s="531"/>
      <c r="J83" s="149"/>
      <c r="K83" s="165"/>
      <c r="L83" s="166"/>
      <c r="M83" s="167"/>
      <c r="N83" s="168"/>
      <c r="O83" s="169" t="s">
        <v>91</v>
      </c>
      <c r="P83" s="169" t="s">
        <v>92</v>
      </c>
      <c r="Q83" s="169" t="s">
        <v>93</v>
      </c>
      <c r="R83" s="169" t="s">
        <v>94</v>
      </c>
      <c r="S83" s="170"/>
      <c r="T83" s="169" t="s">
        <v>91</v>
      </c>
      <c r="U83" s="169" t="s">
        <v>95</v>
      </c>
      <c r="V83" s="169" t="s">
        <v>9</v>
      </c>
      <c r="W83" s="169" t="s">
        <v>10</v>
      </c>
      <c r="X83" s="169" t="s">
        <v>11</v>
      </c>
      <c r="Y83" s="169" t="s">
        <v>96</v>
      </c>
      <c r="Z83" s="171"/>
      <c r="AA83" s="167"/>
      <c r="AB83" s="158"/>
      <c r="AC83" s="158"/>
    </row>
    <row r="84" spans="1:29" ht="18" customHeight="1" x14ac:dyDescent="0.2">
      <c r="A84" s="163"/>
      <c r="B84" s="149"/>
      <c r="C84" s="149"/>
      <c r="D84" s="172"/>
      <c r="E84" s="172"/>
      <c r="F84" s="172"/>
      <c r="G84" s="172"/>
      <c r="H84" s="172"/>
      <c r="I84" s="149"/>
      <c r="J84" s="173" t="s">
        <v>97</v>
      </c>
      <c r="K84" s="151">
        <f>45000+5000+20000</f>
        <v>70000</v>
      </c>
      <c r="L84" s="174"/>
      <c r="M84" s="158"/>
      <c r="N84" s="175"/>
      <c r="O84" s="176" t="s">
        <v>98</v>
      </c>
      <c r="P84" s="176"/>
      <c r="Q84" s="176"/>
      <c r="R84" s="176">
        <f>15-Q84</f>
        <v>15</v>
      </c>
      <c r="S84" s="177"/>
      <c r="T84" s="176" t="s">
        <v>98</v>
      </c>
      <c r="U84" s="178"/>
      <c r="V84" s="178"/>
      <c r="W84" s="178">
        <f>V84+U84</f>
        <v>0</v>
      </c>
      <c r="X84" s="178"/>
      <c r="Y84" s="178">
        <f>W84-X84</f>
        <v>0</v>
      </c>
      <c r="Z84" s="171"/>
      <c r="AA84" s="158"/>
      <c r="AB84" s="158"/>
      <c r="AC84" s="158"/>
    </row>
    <row r="85" spans="1:29" ht="18" customHeight="1" x14ac:dyDescent="0.2">
      <c r="A85" s="163"/>
      <c r="B85" s="149" t="s">
        <v>99</v>
      </c>
      <c r="C85" s="148" t="s">
        <v>128</v>
      </c>
      <c r="D85" s="149"/>
      <c r="E85" s="149"/>
      <c r="F85" s="149"/>
      <c r="G85" s="149"/>
      <c r="H85" s="179"/>
      <c r="I85" s="172"/>
      <c r="J85" s="149"/>
      <c r="K85" s="149"/>
      <c r="L85" s="180"/>
      <c r="M85" s="159"/>
      <c r="N85" s="181"/>
      <c r="O85" s="176" t="s">
        <v>100</v>
      </c>
      <c r="P85" s="176">
        <v>28</v>
      </c>
      <c r="Q85" s="176">
        <v>1</v>
      </c>
      <c r="R85" s="176">
        <f t="shared" ref="R85:R95" si="26">IF(Q85="","",R84-Q85)</f>
        <v>14</v>
      </c>
      <c r="S85" s="156"/>
      <c r="T85" s="176" t="s">
        <v>100</v>
      </c>
      <c r="U85" s="182">
        <f t="shared" ref="U85:U95" si="27">Y84</f>
        <v>0</v>
      </c>
      <c r="V85" s="178"/>
      <c r="W85" s="182">
        <f t="shared" ref="W85:W95" si="28">IF(U85="","",U85+V85)</f>
        <v>0</v>
      </c>
      <c r="X85" s="178"/>
      <c r="Y85" s="182">
        <f t="shared" ref="Y85:Y95" si="29">IF(W85="","",W85-X85)</f>
        <v>0</v>
      </c>
      <c r="Z85" s="183"/>
      <c r="AA85" s="159"/>
      <c r="AB85" s="158"/>
      <c r="AC85" s="158"/>
    </row>
    <row r="86" spans="1:29" ht="18" customHeight="1" x14ac:dyDescent="0.2">
      <c r="A86" s="163"/>
      <c r="B86" s="184" t="s">
        <v>101</v>
      </c>
      <c r="C86" s="185"/>
      <c r="D86" s="149"/>
      <c r="E86" s="149"/>
      <c r="F86" s="529" t="s">
        <v>89</v>
      </c>
      <c r="G86" s="503"/>
      <c r="H86" s="149"/>
      <c r="I86" s="529" t="s">
        <v>102</v>
      </c>
      <c r="J86" s="502"/>
      <c r="K86" s="503"/>
      <c r="L86" s="186"/>
      <c r="M86" s="158"/>
      <c r="N86" s="175"/>
      <c r="O86" s="176" t="s">
        <v>103</v>
      </c>
      <c r="P86" s="176">
        <v>30</v>
      </c>
      <c r="Q86" s="176">
        <v>1</v>
      </c>
      <c r="R86" s="176">
        <f t="shared" si="26"/>
        <v>13</v>
      </c>
      <c r="S86" s="156"/>
      <c r="T86" s="176" t="s">
        <v>103</v>
      </c>
      <c r="U86" s="182">
        <f t="shared" si="27"/>
        <v>0</v>
      </c>
      <c r="V86" s="178"/>
      <c r="W86" s="182">
        <f t="shared" si="28"/>
        <v>0</v>
      </c>
      <c r="X86" s="178"/>
      <c r="Y86" s="182">
        <f t="shared" si="29"/>
        <v>0</v>
      </c>
      <c r="Z86" s="183"/>
      <c r="AA86" s="158"/>
      <c r="AB86" s="158"/>
      <c r="AC86" s="158"/>
    </row>
    <row r="87" spans="1:29" ht="18" customHeight="1" x14ac:dyDescent="0.2">
      <c r="A87" s="163"/>
      <c r="B87" s="149"/>
      <c r="C87" s="149"/>
      <c r="D87" s="149"/>
      <c r="E87" s="149"/>
      <c r="F87" s="149"/>
      <c r="G87" s="149"/>
      <c r="H87" s="187"/>
      <c r="I87" s="149"/>
      <c r="J87" s="149"/>
      <c r="K87" s="149"/>
      <c r="L87" s="188"/>
      <c r="M87" s="158"/>
      <c r="N87" s="175"/>
      <c r="O87" s="176" t="s">
        <v>104</v>
      </c>
      <c r="P87" s="176">
        <v>29</v>
      </c>
      <c r="Q87" s="176">
        <v>1</v>
      </c>
      <c r="R87" s="176">
        <f t="shared" si="26"/>
        <v>12</v>
      </c>
      <c r="S87" s="156"/>
      <c r="T87" s="176" t="s">
        <v>104</v>
      </c>
      <c r="U87" s="182">
        <f t="shared" si="27"/>
        <v>0</v>
      </c>
      <c r="V87" s="178"/>
      <c r="W87" s="182">
        <f t="shared" si="28"/>
        <v>0</v>
      </c>
      <c r="X87" s="178"/>
      <c r="Y87" s="182">
        <f t="shared" si="29"/>
        <v>0</v>
      </c>
      <c r="Z87" s="183"/>
      <c r="AA87" s="158"/>
      <c r="AB87" s="158"/>
      <c r="AC87" s="158"/>
    </row>
    <row r="88" spans="1:29" ht="18" customHeight="1" x14ac:dyDescent="0.2">
      <c r="A88" s="163"/>
      <c r="B88" s="527" t="s">
        <v>88</v>
      </c>
      <c r="C88" s="503"/>
      <c r="D88" s="149"/>
      <c r="E88" s="149"/>
      <c r="F88" s="189" t="s">
        <v>105</v>
      </c>
      <c r="G88" s="190">
        <f>IF($J$1="January",U84,IF($J$1="February",U85,IF($J$1="March",U86,IF($J$1="April",U87,IF($J$1="May",U88,IF($J$1="June",U89,IF($J$1="July",U90,IF($J$1="August",U91,IF($J$1="August",U91,IF($J$1="September",U92,IF($J$1="October",U93,IF($J$1="November",U94,IF($J$1="December",U95)))))))))))))</f>
        <v>0</v>
      </c>
      <c r="H88" s="187"/>
      <c r="I88" s="191">
        <f>IF(C92&gt;0,$K$2,C90)</f>
        <v>30</v>
      </c>
      <c r="J88" s="192" t="s">
        <v>106</v>
      </c>
      <c r="K88" s="193">
        <f>K84/$K$2*I88</f>
        <v>70000</v>
      </c>
      <c r="L88" s="194"/>
      <c r="M88" s="158"/>
      <c r="N88" s="175"/>
      <c r="O88" s="176" t="s">
        <v>107</v>
      </c>
      <c r="P88" s="176">
        <v>29</v>
      </c>
      <c r="Q88" s="176">
        <v>2</v>
      </c>
      <c r="R88" s="176">
        <f t="shared" si="26"/>
        <v>10</v>
      </c>
      <c r="S88" s="156"/>
      <c r="T88" s="176" t="s">
        <v>107</v>
      </c>
      <c r="U88" s="182">
        <f t="shared" si="27"/>
        <v>0</v>
      </c>
      <c r="V88" s="178"/>
      <c r="W88" s="182">
        <f t="shared" si="28"/>
        <v>0</v>
      </c>
      <c r="X88" s="178"/>
      <c r="Y88" s="182">
        <f t="shared" si="29"/>
        <v>0</v>
      </c>
      <c r="Z88" s="183"/>
      <c r="AA88" s="158"/>
      <c r="AB88" s="158"/>
      <c r="AC88" s="158"/>
    </row>
    <row r="89" spans="1:29" ht="18" customHeight="1" x14ac:dyDescent="0.2">
      <c r="A89" s="163"/>
      <c r="B89" s="195"/>
      <c r="C89" s="195"/>
      <c r="D89" s="149"/>
      <c r="E89" s="149"/>
      <c r="F89" s="189" t="s">
        <v>9</v>
      </c>
      <c r="G89" s="190">
        <f>IF($J$1="January",V84,IF($J$1="February",V85,IF($J$1="March",V86,IF($J$1="April",V87,IF($J$1="May",V88,IF($J$1="June",V89,IF($J$1="July",V90,IF($J$1="August",V91,IF($J$1="August",V91,IF($J$1="September",V92,IF($J$1="October",V93,IF($J$1="November",V94,IF($J$1="December",V95)))))))))))))</f>
        <v>0</v>
      </c>
      <c r="H89" s="187"/>
      <c r="I89" s="191">
        <v>83</v>
      </c>
      <c r="J89" s="192" t="s">
        <v>108</v>
      </c>
      <c r="K89" s="190">
        <f>K84/$K$2/8*I89</f>
        <v>24208.333333333336</v>
      </c>
      <c r="L89" s="196"/>
      <c r="M89" s="158"/>
      <c r="N89" s="175"/>
      <c r="O89" s="176" t="s">
        <v>84</v>
      </c>
      <c r="P89" s="176">
        <v>29</v>
      </c>
      <c r="Q89" s="176">
        <v>1</v>
      </c>
      <c r="R89" s="176">
        <f t="shared" si="26"/>
        <v>9</v>
      </c>
      <c r="S89" s="156"/>
      <c r="T89" s="176" t="s">
        <v>84</v>
      </c>
      <c r="U89" s="182">
        <f t="shared" si="27"/>
        <v>0</v>
      </c>
      <c r="V89" s="178">
        <v>5000</v>
      </c>
      <c r="W89" s="182">
        <f t="shared" si="28"/>
        <v>5000</v>
      </c>
      <c r="X89" s="178">
        <v>5000</v>
      </c>
      <c r="Y89" s="182">
        <f t="shared" si="29"/>
        <v>0</v>
      </c>
      <c r="Z89" s="183"/>
      <c r="AA89" s="158"/>
      <c r="AB89" s="158"/>
      <c r="AC89" s="158"/>
    </row>
    <row r="90" spans="1:29" ht="18" customHeight="1" x14ac:dyDescent="0.2">
      <c r="A90" s="163"/>
      <c r="B90" s="189" t="s">
        <v>92</v>
      </c>
      <c r="C90" s="195">
        <f>IF($J$1="January",P84,IF($J$1="February",P85,IF($J$1="March",P86,IF($J$1="April",P87,IF($J$1="May",P88,IF($J$1="June",P89,IF($J$1="July",P90,IF($J$1="August",P91,IF($J$1="August",P91,IF($J$1="September",P92,IF($J$1="October",P93,IF($J$1="November",P94,IF($J$1="December",P95)))))))))))))</f>
        <v>30</v>
      </c>
      <c r="D90" s="149"/>
      <c r="E90" s="149"/>
      <c r="F90" s="189" t="s">
        <v>109</v>
      </c>
      <c r="G90" s="190">
        <f>IF($J$1="January",W84,IF($J$1="February",W85,IF($J$1="March",W86,IF($J$1="April",W87,IF($J$1="May",W88,IF($J$1="June",W89,IF($J$1="July",W90,IF($J$1="August",W91,IF($J$1="August",W91,IF($J$1="September",W92,IF($J$1="October",W93,IF($J$1="November",W94,IF($J$1="December",W95)))))))))))))</f>
        <v>0</v>
      </c>
      <c r="H90" s="187"/>
      <c r="I90" s="528" t="s">
        <v>110</v>
      </c>
      <c r="J90" s="503"/>
      <c r="K90" s="190">
        <f>K88+K89</f>
        <v>94208.333333333343</v>
      </c>
      <c r="L90" s="196"/>
      <c r="M90" s="158"/>
      <c r="N90" s="175"/>
      <c r="O90" s="176" t="s">
        <v>111</v>
      </c>
      <c r="P90" s="176">
        <v>30</v>
      </c>
      <c r="Q90" s="176">
        <v>1</v>
      </c>
      <c r="R90" s="176">
        <f t="shared" si="26"/>
        <v>8</v>
      </c>
      <c r="S90" s="156"/>
      <c r="T90" s="176" t="s">
        <v>111</v>
      </c>
      <c r="U90" s="182">
        <f t="shared" si="27"/>
        <v>0</v>
      </c>
      <c r="V90" s="178">
        <v>5000</v>
      </c>
      <c r="W90" s="182">
        <f t="shared" si="28"/>
        <v>5000</v>
      </c>
      <c r="X90" s="178">
        <v>5000</v>
      </c>
      <c r="Y90" s="182">
        <f t="shared" si="29"/>
        <v>0</v>
      </c>
      <c r="Z90" s="183"/>
      <c r="AA90" s="158"/>
      <c r="AB90" s="158"/>
      <c r="AC90" s="158"/>
    </row>
    <row r="91" spans="1:29" ht="18" customHeight="1" x14ac:dyDescent="0.2">
      <c r="A91" s="163"/>
      <c r="B91" s="189" t="s">
        <v>93</v>
      </c>
      <c r="C91" s="195">
        <f>IF($J$1="January",Q84,IF($J$1="February",Q85,IF($J$1="March",Q86,IF($J$1="April",Q87,IF($J$1="May",Q88,IF($J$1="June",Q89,IF($J$1="July",Q90,IF($J$1="August",Q91,IF($J$1="August",Q91,IF($J$1="September",Q92,IF($J$1="October",Q93,IF($J$1="November",Q94,IF($J$1="December",Q95)))))))))))))</f>
        <v>0</v>
      </c>
      <c r="D91" s="149"/>
      <c r="E91" s="149"/>
      <c r="F91" s="189" t="s">
        <v>11</v>
      </c>
      <c r="G91" s="190">
        <f>IF($J$1="January",X84,IF($J$1="February",X85,IF($J$1="March",X86,IF($J$1="April",X87,IF($J$1="May",X88,IF($J$1="June",X89,IF($J$1="July",X90,IF($J$1="August",X91,IF($J$1="August",X91,IF($J$1="September",X92,IF($J$1="October",X93,IF($J$1="November",X94,IF($J$1="December",X95)))))))))))))</f>
        <v>0</v>
      </c>
      <c r="H91" s="187"/>
      <c r="I91" s="528" t="s">
        <v>112</v>
      </c>
      <c r="J91" s="503"/>
      <c r="K91" s="190">
        <f>G91</f>
        <v>0</v>
      </c>
      <c r="L91" s="196"/>
      <c r="M91" s="158"/>
      <c r="N91" s="175"/>
      <c r="O91" s="176" t="s">
        <v>113</v>
      </c>
      <c r="P91" s="176">
        <v>30</v>
      </c>
      <c r="Q91" s="176">
        <v>1</v>
      </c>
      <c r="R91" s="176">
        <f t="shared" si="26"/>
        <v>7</v>
      </c>
      <c r="S91" s="156"/>
      <c r="T91" s="176" t="s">
        <v>113</v>
      </c>
      <c r="U91" s="182">
        <f t="shared" si="27"/>
        <v>0</v>
      </c>
      <c r="V91" s="178"/>
      <c r="W91" s="182">
        <f t="shared" si="28"/>
        <v>0</v>
      </c>
      <c r="X91" s="178"/>
      <c r="Y91" s="182">
        <f t="shared" si="29"/>
        <v>0</v>
      </c>
      <c r="Z91" s="183"/>
      <c r="AA91" s="158"/>
      <c r="AB91" s="158"/>
      <c r="AC91" s="158"/>
    </row>
    <row r="92" spans="1:29" ht="18" customHeight="1" x14ac:dyDescent="0.2">
      <c r="A92" s="163"/>
      <c r="B92" s="204" t="s">
        <v>114</v>
      </c>
      <c r="C92" s="195">
        <f>IF($J$1="January",R84,IF($J$1="February",R85,IF($J$1="March",R86,IF($J$1="April",R87,IF($J$1="May",R88,IF($J$1="June",R89,IF($J$1="July",R90,IF($J$1="August",R91,IF($J$1="August",R91,IF($J$1="September",R92,IF($J$1="October",R93,IF($J$1="November",R94,IF($J$1="December",R95)))))))))))))</f>
        <v>7</v>
      </c>
      <c r="D92" s="149"/>
      <c r="E92" s="149"/>
      <c r="F92" s="204" t="s">
        <v>115</v>
      </c>
      <c r="G92" s="190">
        <f>IF($J$1="January",Y84,IF($J$1="February",Y85,IF($J$1="March",Y86,IF($J$1="April",Y87,IF($J$1="May",Y88,IF($J$1="June",Y89,IF($J$1="July",Y90,IF($J$1="August",Y91,IF($J$1="August",Y91,IF($J$1="September",Y92,IF($J$1="October",Y93,IF($J$1="November",Y94,IF($J$1="December",Y95)))))))))))))</f>
        <v>0</v>
      </c>
      <c r="H92" s="149"/>
      <c r="I92" s="529" t="s">
        <v>13</v>
      </c>
      <c r="J92" s="503"/>
      <c r="K92" s="37">
        <f>K90-K91</f>
        <v>94208.333333333343</v>
      </c>
      <c r="L92" s="180"/>
      <c r="M92" s="158"/>
      <c r="N92" s="175"/>
      <c r="O92" s="176" t="s">
        <v>116</v>
      </c>
      <c r="P92" s="176">
        <v>30</v>
      </c>
      <c r="Q92" s="176">
        <v>0</v>
      </c>
      <c r="R92" s="176">
        <f t="shared" si="26"/>
        <v>7</v>
      </c>
      <c r="S92" s="156"/>
      <c r="T92" s="176" t="s">
        <v>116</v>
      </c>
      <c r="U92" s="182">
        <f t="shared" si="27"/>
        <v>0</v>
      </c>
      <c r="V92" s="178"/>
      <c r="W92" s="182">
        <f t="shared" si="28"/>
        <v>0</v>
      </c>
      <c r="X92" s="178"/>
      <c r="Y92" s="182">
        <f t="shared" si="29"/>
        <v>0</v>
      </c>
      <c r="Z92" s="183"/>
      <c r="AA92" s="158"/>
      <c r="AB92" s="158"/>
      <c r="AC92" s="158"/>
    </row>
    <row r="93" spans="1:29" ht="18" customHeight="1" x14ac:dyDescent="0.2">
      <c r="A93" s="163"/>
      <c r="B93" s="149"/>
      <c r="C93" s="149"/>
      <c r="D93" s="149"/>
      <c r="E93" s="149"/>
      <c r="F93" s="149"/>
      <c r="G93" s="149"/>
      <c r="H93" s="149"/>
      <c r="I93" s="530"/>
      <c r="J93" s="531"/>
      <c r="K93" s="151"/>
      <c r="L93" s="186"/>
      <c r="M93" s="158"/>
      <c r="N93" s="175"/>
      <c r="O93" s="176" t="s">
        <v>117</v>
      </c>
      <c r="P93" s="176"/>
      <c r="Q93" s="176"/>
      <c r="R93" s="176" t="str">
        <f t="shared" si="26"/>
        <v/>
      </c>
      <c r="S93" s="156"/>
      <c r="T93" s="176" t="s">
        <v>117</v>
      </c>
      <c r="U93" s="182">
        <f t="shared" si="27"/>
        <v>0</v>
      </c>
      <c r="V93" s="178"/>
      <c r="W93" s="182">
        <f t="shared" si="28"/>
        <v>0</v>
      </c>
      <c r="X93" s="178"/>
      <c r="Y93" s="182">
        <f t="shared" si="29"/>
        <v>0</v>
      </c>
      <c r="Z93" s="183"/>
      <c r="AA93" s="158"/>
      <c r="AB93" s="158"/>
      <c r="AC93" s="158"/>
    </row>
    <row r="94" spans="1:29" ht="18" customHeight="1" x14ac:dyDescent="0.3">
      <c r="A94" s="163"/>
      <c r="B94" s="147"/>
      <c r="C94" s="147"/>
      <c r="D94" s="147"/>
      <c r="E94" s="147"/>
      <c r="F94" s="147"/>
      <c r="G94" s="147"/>
      <c r="H94" s="147"/>
      <c r="I94" s="530"/>
      <c r="J94" s="531"/>
      <c r="K94" s="151"/>
      <c r="L94" s="186"/>
      <c r="M94" s="158"/>
      <c r="N94" s="175"/>
      <c r="O94" s="176" t="s">
        <v>118</v>
      </c>
      <c r="P94" s="176"/>
      <c r="Q94" s="176"/>
      <c r="R94" s="176" t="str">
        <f t="shared" si="26"/>
        <v/>
      </c>
      <c r="S94" s="156"/>
      <c r="T94" s="176" t="s">
        <v>118</v>
      </c>
      <c r="U94" s="182">
        <f t="shared" si="27"/>
        <v>0</v>
      </c>
      <c r="V94" s="178"/>
      <c r="W94" s="182">
        <f t="shared" si="28"/>
        <v>0</v>
      </c>
      <c r="X94" s="178"/>
      <c r="Y94" s="182">
        <f t="shared" si="29"/>
        <v>0</v>
      </c>
      <c r="Z94" s="183"/>
      <c r="AA94" s="158"/>
      <c r="AB94" s="158"/>
      <c r="AC94" s="158"/>
    </row>
    <row r="95" spans="1:29" ht="18" customHeight="1" thickBot="1" x14ac:dyDescent="0.35">
      <c r="A95" s="197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9"/>
      <c r="M95" s="158"/>
      <c r="N95" s="175"/>
      <c r="O95" s="176" t="s">
        <v>119</v>
      </c>
      <c r="P95" s="176"/>
      <c r="Q95" s="176"/>
      <c r="R95" s="176" t="str">
        <f t="shared" si="26"/>
        <v/>
      </c>
      <c r="S95" s="156"/>
      <c r="T95" s="176" t="s">
        <v>119</v>
      </c>
      <c r="U95" s="182">
        <f t="shared" si="27"/>
        <v>0</v>
      </c>
      <c r="V95" s="178"/>
      <c r="W95" s="182">
        <f t="shared" si="28"/>
        <v>0</v>
      </c>
      <c r="X95" s="178"/>
      <c r="Y95" s="182">
        <f t="shared" si="29"/>
        <v>0</v>
      </c>
      <c r="Z95" s="183"/>
      <c r="AA95" s="158"/>
      <c r="AB95" s="158"/>
      <c r="AC95" s="158"/>
    </row>
    <row r="96" spans="1:29" ht="18" customHeight="1" thickBot="1" x14ac:dyDescent="0.25">
      <c r="A96" s="200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1"/>
      <c r="N96" s="202"/>
      <c r="O96" s="202"/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1"/>
      <c r="AB96" s="201"/>
      <c r="AC96" s="201"/>
    </row>
    <row r="97" spans="1:29" ht="18" customHeight="1" thickBot="1" x14ac:dyDescent="0.25">
      <c r="A97" s="532" t="s">
        <v>87</v>
      </c>
      <c r="B97" s="533"/>
      <c r="C97" s="533"/>
      <c r="D97" s="533"/>
      <c r="E97" s="533"/>
      <c r="F97" s="533"/>
      <c r="G97" s="533"/>
      <c r="H97" s="533"/>
      <c r="I97" s="533"/>
      <c r="J97" s="533"/>
      <c r="K97" s="533"/>
      <c r="L97" s="534"/>
      <c r="M97" s="159"/>
      <c r="N97" s="160"/>
      <c r="O97" s="524" t="s">
        <v>88</v>
      </c>
      <c r="P97" s="525"/>
      <c r="Q97" s="525"/>
      <c r="R97" s="526"/>
      <c r="S97" s="161"/>
      <c r="T97" s="524" t="s">
        <v>89</v>
      </c>
      <c r="U97" s="525"/>
      <c r="V97" s="525"/>
      <c r="W97" s="525"/>
      <c r="X97" s="525"/>
      <c r="Y97" s="526"/>
      <c r="Z97" s="162"/>
      <c r="AA97" s="158"/>
      <c r="AB97" s="158"/>
      <c r="AC97" s="158"/>
    </row>
    <row r="98" spans="1:29" ht="18" customHeight="1" x14ac:dyDescent="0.2">
      <c r="A98" s="163"/>
      <c r="B98" s="149"/>
      <c r="C98" s="535" t="s">
        <v>129</v>
      </c>
      <c r="D98" s="531"/>
      <c r="E98" s="531"/>
      <c r="F98" s="531"/>
      <c r="G98" s="164" t="str">
        <f>$J$1</f>
        <v>September</v>
      </c>
      <c r="H98" s="536">
        <f>$K$1</f>
        <v>2024</v>
      </c>
      <c r="I98" s="531"/>
      <c r="J98" s="149"/>
      <c r="K98" s="165"/>
      <c r="L98" s="166"/>
      <c r="M98" s="167"/>
      <c r="N98" s="168"/>
      <c r="O98" s="169" t="s">
        <v>91</v>
      </c>
      <c r="P98" s="169" t="s">
        <v>92</v>
      </c>
      <c r="Q98" s="169" t="s">
        <v>93</v>
      </c>
      <c r="R98" s="169" t="s">
        <v>94</v>
      </c>
      <c r="S98" s="170"/>
      <c r="T98" s="169" t="s">
        <v>91</v>
      </c>
      <c r="U98" s="169" t="s">
        <v>95</v>
      </c>
      <c r="V98" s="169" t="s">
        <v>9</v>
      </c>
      <c r="W98" s="169" t="s">
        <v>10</v>
      </c>
      <c r="X98" s="169" t="s">
        <v>11</v>
      </c>
      <c r="Y98" s="169" t="s">
        <v>96</v>
      </c>
      <c r="Z98" s="171"/>
      <c r="AA98" s="158"/>
      <c r="AB98" s="158"/>
      <c r="AC98" s="158"/>
    </row>
    <row r="99" spans="1:29" ht="18" customHeight="1" x14ac:dyDescent="0.2">
      <c r="A99" s="163"/>
      <c r="B99" s="149"/>
      <c r="C99" s="149"/>
      <c r="D99" s="172"/>
      <c r="E99" s="172"/>
      <c r="F99" s="172"/>
      <c r="G99" s="172"/>
      <c r="H99" s="172"/>
      <c r="I99" s="149"/>
      <c r="J99" s="173" t="s">
        <v>97</v>
      </c>
      <c r="K99" s="151">
        <f>38000+3000+5000</f>
        <v>46000</v>
      </c>
      <c r="L99" s="174"/>
      <c r="M99" s="158"/>
      <c r="N99" s="175"/>
      <c r="O99" s="176" t="s">
        <v>98</v>
      </c>
      <c r="P99" s="176">
        <v>29</v>
      </c>
      <c r="Q99" s="176">
        <v>2</v>
      </c>
      <c r="R99" s="176">
        <v>5</v>
      </c>
      <c r="S99" s="177"/>
      <c r="T99" s="176" t="s">
        <v>98</v>
      </c>
      <c r="U99" s="178">
        <v>35000</v>
      </c>
      <c r="V99" s="178"/>
      <c r="W99" s="178">
        <f>V99+U99</f>
        <v>35000</v>
      </c>
      <c r="X99" s="178"/>
      <c r="Y99" s="178">
        <f>W99-X99</f>
        <v>35000</v>
      </c>
      <c r="Z99" s="171"/>
      <c r="AA99" s="158"/>
      <c r="AB99" s="158"/>
      <c r="AC99" s="158"/>
    </row>
    <row r="100" spans="1:29" ht="18" customHeight="1" x14ac:dyDescent="0.2">
      <c r="A100" s="163"/>
      <c r="B100" s="149" t="s">
        <v>99</v>
      </c>
      <c r="C100" s="148" t="s">
        <v>130</v>
      </c>
      <c r="D100" s="149"/>
      <c r="E100" s="149"/>
      <c r="F100" s="149"/>
      <c r="G100" s="149"/>
      <c r="H100" s="179"/>
      <c r="I100" s="172"/>
      <c r="J100" s="149"/>
      <c r="K100" s="149"/>
      <c r="L100" s="180"/>
      <c r="M100" s="159"/>
      <c r="N100" s="181"/>
      <c r="O100" s="176" t="s">
        <v>100</v>
      </c>
      <c r="P100" s="176">
        <v>28</v>
      </c>
      <c r="Q100" s="176">
        <v>1</v>
      </c>
      <c r="R100" s="176">
        <f t="shared" ref="R100:R102" si="30">IF(Q100="","",R99-Q100)</f>
        <v>4</v>
      </c>
      <c r="S100" s="156"/>
      <c r="T100" s="176" t="s">
        <v>100</v>
      </c>
      <c r="U100" s="182">
        <f t="shared" ref="U100:U101" si="31">Y99</f>
        <v>35000</v>
      </c>
      <c r="V100" s="178"/>
      <c r="W100" s="182">
        <f t="shared" ref="W100:W110" si="32">IF(U100="","",U100+V100)</f>
        <v>35000</v>
      </c>
      <c r="X100" s="178"/>
      <c r="Y100" s="182">
        <f t="shared" ref="Y100:Y110" si="33">IF(W100="","",W100-X100)</f>
        <v>35000</v>
      </c>
      <c r="Z100" s="183"/>
      <c r="AA100" s="158"/>
      <c r="AB100" s="158"/>
      <c r="AC100" s="158"/>
    </row>
    <row r="101" spans="1:29" ht="18" customHeight="1" x14ac:dyDescent="0.2">
      <c r="A101" s="163"/>
      <c r="B101" s="184" t="s">
        <v>101</v>
      </c>
      <c r="C101" s="185"/>
      <c r="D101" s="149"/>
      <c r="E101" s="149"/>
      <c r="F101" s="529" t="s">
        <v>89</v>
      </c>
      <c r="G101" s="503"/>
      <c r="H101" s="149"/>
      <c r="I101" s="529" t="s">
        <v>102</v>
      </c>
      <c r="J101" s="502"/>
      <c r="K101" s="503"/>
      <c r="L101" s="186"/>
      <c r="M101" s="158"/>
      <c r="N101" s="175"/>
      <c r="O101" s="176" t="s">
        <v>103</v>
      </c>
      <c r="P101" s="176">
        <v>30</v>
      </c>
      <c r="Q101" s="176">
        <v>1</v>
      </c>
      <c r="R101" s="176">
        <f t="shared" si="30"/>
        <v>3</v>
      </c>
      <c r="S101" s="156"/>
      <c r="T101" s="176" t="s">
        <v>103</v>
      </c>
      <c r="U101" s="182">
        <f t="shared" si="31"/>
        <v>35000</v>
      </c>
      <c r="V101" s="178"/>
      <c r="W101" s="182">
        <f t="shared" si="32"/>
        <v>35000</v>
      </c>
      <c r="X101" s="178"/>
      <c r="Y101" s="182">
        <f t="shared" si="33"/>
        <v>35000</v>
      </c>
      <c r="Z101" s="183"/>
      <c r="AA101" s="158"/>
      <c r="AB101" s="158"/>
      <c r="AC101" s="158"/>
    </row>
    <row r="102" spans="1:29" ht="18" customHeight="1" x14ac:dyDescent="0.2">
      <c r="A102" s="163"/>
      <c r="B102" s="149"/>
      <c r="C102" s="149"/>
      <c r="D102" s="149"/>
      <c r="E102" s="149"/>
      <c r="F102" s="149"/>
      <c r="G102" s="149"/>
      <c r="H102" s="187"/>
      <c r="I102" s="149"/>
      <c r="J102" s="149"/>
      <c r="K102" s="149"/>
      <c r="L102" s="188"/>
      <c r="M102" s="158"/>
      <c r="N102" s="175"/>
      <c r="O102" s="176" t="s">
        <v>104</v>
      </c>
      <c r="P102" s="176">
        <v>28</v>
      </c>
      <c r="Q102" s="176">
        <v>2</v>
      </c>
      <c r="R102" s="176">
        <f t="shared" si="30"/>
        <v>1</v>
      </c>
      <c r="S102" s="156"/>
      <c r="T102" s="176" t="s">
        <v>104</v>
      </c>
      <c r="U102" s="182">
        <f>IF($J$1="March","",Y101)</f>
        <v>35000</v>
      </c>
      <c r="V102" s="178"/>
      <c r="W102" s="182">
        <f t="shared" si="32"/>
        <v>35000</v>
      </c>
      <c r="X102" s="178"/>
      <c r="Y102" s="182">
        <f t="shared" si="33"/>
        <v>35000</v>
      </c>
      <c r="Z102" s="183"/>
      <c r="AA102" s="158"/>
      <c r="AB102" s="158"/>
      <c r="AC102" s="158"/>
    </row>
    <row r="103" spans="1:29" ht="18" customHeight="1" x14ac:dyDescent="0.2">
      <c r="A103" s="163"/>
      <c r="B103" s="527" t="s">
        <v>88</v>
      </c>
      <c r="C103" s="503"/>
      <c r="D103" s="149"/>
      <c r="E103" s="149"/>
      <c r="F103" s="189" t="s">
        <v>105</v>
      </c>
      <c r="G103" s="190">
        <f>IF($J$1="January",U99,IF($J$1="February",U100,IF($J$1="March",U101,IF($J$1="April",U102,IF($J$1="May",U103,IF($J$1="June",U104,IF($J$1="July",U105,IF($J$1="August",U106,IF($J$1="August",U106,IF($J$1="September",U107,IF($J$1="October",U108,IF($J$1="November",U109,IF($J$1="December",U110)))))))))))))</f>
        <v>35000</v>
      </c>
      <c r="H103" s="187"/>
      <c r="I103" s="191">
        <v>30</v>
      </c>
      <c r="J103" s="192" t="s">
        <v>106</v>
      </c>
      <c r="K103" s="193">
        <f>K99/$K$2*I103</f>
        <v>46000</v>
      </c>
      <c r="L103" s="194"/>
      <c r="M103" s="158"/>
      <c r="N103" s="175"/>
      <c r="O103" s="176" t="s">
        <v>107</v>
      </c>
      <c r="P103" s="176">
        <v>31</v>
      </c>
      <c r="Q103" s="176">
        <v>0</v>
      </c>
      <c r="R103" s="176">
        <v>0</v>
      </c>
      <c r="S103" s="156"/>
      <c r="T103" s="176" t="s">
        <v>107</v>
      </c>
      <c r="U103" s="182">
        <f t="shared" ref="U103:U104" si="34">Y102</f>
        <v>35000</v>
      </c>
      <c r="V103" s="178"/>
      <c r="W103" s="182">
        <f t="shared" si="32"/>
        <v>35000</v>
      </c>
      <c r="X103" s="178"/>
      <c r="Y103" s="182">
        <f t="shared" si="33"/>
        <v>35000</v>
      </c>
      <c r="Z103" s="183"/>
      <c r="AA103" s="158"/>
      <c r="AB103" s="158"/>
      <c r="AC103" s="158"/>
    </row>
    <row r="104" spans="1:29" ht="18" customHeight="1" x14ac:dyDescent="0.2">
      <c r="A104" s="163"/>
      <c r="B104" s="195"/>
      <c r="C104" s="195"/>
      <c r="D104" s="149"/>
      <c r="E104" s="149"/>
      <c r="F104" s="189" t="s">
        <v>9</v>
      </c>
      <c r="G104" s="190">
        <f>IF($J$1="January",V99,IF($J$1="February",V100,IF($J$1="March",V101,IF($J$1="April",V102,IF($J$1="May",V103,IF($J$1="June",V104,IF($J$1="July",V105,IF($J$1="August",V106,IF($J$1="August",V106,IF($J$1="September",V107,IF($J$1="October",V108,IF($J$1="November",V109,IF($J$1="December",V110)))))))))))))</f>
        <v>10000</v>
      </c>
      <c r="H104" s="187"/>
      <c r="I104" s="191"/>
      <c r="J104" s="192" t="s">
        <v>108</v>
      </c>
      <c r="K104" s="190">
        <f>K99/$K$2/8*I104</f>
        <v>0</v>
      </c>
      <c r="L104" s="196"/>
      <c r="M104" s="158"/>
      <c r="N104" s="175"/>
      <c r="O104" s="176" t="s">
        <v>84</v>
      </c>
      <c r="P104" s="205">
        <v>28</v>
      </c>
      <c r="Q104" s="205">
        <v>2</v>
      </c>
      <c r="R104" s="176">
        <f>15-Q104</f>
        <v>13</v>
      </c>
      <c r="S104" s="156"/>
      <c r="T104" s="176" t="s">
        <v>84</v>
      </c>
      <c r="U104" s="182">
        <f t="shared" si="34"/>
        <v>35000</v>
      </c>
      <c r="V104" s="178">
        <v>5000</v>
      </c>
      <c r="W104" s="182">
        <f t="shared" si="32"/>
        <v>40000</v>
      </c>
      <c r="X104" s="178">
        <v>5000</v>
      </c>
      <c r="Y104" s="182">
        <f t="shared" si="33"/>
        <v>35000</v>
      </c>
      <c r="Z104" s="183"/>
      <c r="AA104" s="158"/>
      <c r="AB104" s="158"/>
      <c r="AC104" s="158"/>
    </row>
    <row r="105" spans="1:29" ht="18" customHeight="1" x14ac:dyDescent="0.2">
      <c r="A105" s="163"/>
      <c r="B105" s="189" t="s">
        <v>92</v>
      </c>
      <c r="C105" s="195">
        <f>IF($J$1="January",P99,IF($J$1="February",P100,IF($J$1="March",P101,IF($J$1="April",P102,IF($J$1="May",P103,IF($J$1="June",P104,IF($J$1="July",P105,IF($J$1="August",P106,IF($J$1="August",P106,IF($J$1="September",P107,IF($J$1="October",P108,IF($J$1="November",P109,IF($J$1="December",P110)))))))))))))</f>
        <v>28</v>
      </c>
      <c r="D105" s="149"/>
      <c r="E105" s="149"/>
      <c r="F105" s="189" t="s">
        <v>109</v>
      </c>
      <c r="G105" s="190">
        <f>IF($J$1="January",W99,IF($J$1="February",W100,IF($J$1="March",W101,IF($J$1="April",W102,IF($J$1="May",W103,IF($J$1="June",W104,IF($J$1="July",W105,IF($J$1="August",W106,IF($J$1="August",W106,IF($J$1="September",W107,IF($J$1="October",W108,IF($J$1="November",W109,IF($J$1="December",W110)))))))))))))</f>
        <v>45000</v>
      </c>
      <c r="H105" s="187"/>
      <c r="I105" s="528" t="s">
        <v>110</v>
      </c>
      <c r="J105" s="503"/>
      <c r="K105" s="190">
        <f>K103+K104</f>
        <v>46000</v>
      </c>
      <c r="L105" s="196"/>
      <c r="M105" s="158"/>
      <c r="N105" s="175"/>
      <c r="O105" s="176" t="s">
        <v>111</v>
      </c>
      <c r="P105" s="176">
        <v>31</v>
      </c>
      <c r="Q105" s="176">
        <v>2</v>
      </c>
      <c r="R105" s="176">
        <v>0</v>
      </c>
      <c r="S105" s="156"/>
      <c r="T105" s="176" t="s">
        <v>111</v>
      </c>
      <c r="U105" s="182">
        <f>Y104</f>
        <v>35000</v>
      </c>
      <c r="V105" s="178"/>
      <c r="W105" s="182">
        <f t="shared" si="32"/>
        <v>35000</v>
      </c>
      <c r="X105" s="178"/>
      <c r="Y105" s="182">
        <f t="shared" si="33"/>
        <v>35000</v>
      </c>
      <c r="Z105" s="183"/>
      <c r="AA105" s="158"/>
      <c r="AB105" s="158"/>
      <c r="AC105" s="158"/>
    </row>
    <row r="106" spans="1:29" ht="18" customHeight="1" x14ac:dyDescent="0.2">
      <c r="A106" s="163"/>
      <c r="B106" s="189" t="s">
        <v>93</v>
      </c>
      <c r="C106" s="195">
        <f>IF($J$1="January",Q99,IF($J$1="February",Q100,IF($J$1="March",Q101,IF($J$1="April",Q102,IF($J$1="May",Q103,IF($J$1="June",Q104,IF($J$1="July",Q105,IF($J$1="August",Q106,IF($J$1="August",Q106,IF($J$1="September",Q107,IF($J$1="October",Q108,IF($J$1="November",Q109,IF($J$1="December",Q110)))))))))))))</f>
        <v>2</v>
      </c>
      <c r="D106" s="149"/>
      <c r="E106" s="149"/>
      <c r="F106" s="189" t="s">
        <v>11</v>
      </c>
      <c r="G106" s="190">
        <f>IF($J$1="January",X99,IF($J$1="February",X100,IF($J$1="March",X101,IF($J$1="April",X102,IF($J$1="May",X103,IF($J$1="June",X104,IF($J$1="July",X105,IF($J$1="August",X106,IF($J$1="August",X106,IF($J$1="September",X107,IF($J$1="October",X108,IF($J$1="November",X109,IF($J$1="December",X110)))))))))))))</f>
        <v>5000</v>
      </c>
      <c r="H106" s="187"/>
      <c r="I106" s="528" t="s">
        <v>112</v>
      </c>
      <c r="J106" s="503"/>
      <c r="K106" s="190">
        <f>G106</f>
        <v>5000</v>
      </c>
      <c r="L106" s="196"/>
      <c r="M106" s="158"/>
      <c r="N106" s="175"/>
      <c r="O106" s="176" t="s">
        <v>113</v>
      </c>
      <c r="P106" s="176">
        <v>29</v>
      </c>
      <c r="Q106" s="176">
        <v>2</v>
      </c>
      <c r="R106" s="176">
        <v>0</v>
      </c>
      <c r="S106" s="156"/>
      <c r="T106" s="176" t="s">
        <v>113</v>
      </c>
      <c r="U106" s="182">
        <f>Y105</f>
        <v>35000</v>
      </c>
      <c r="V106" s="178"/>
      <c r="W106" s="182">
        <f t="shared" si="32"/>
        <v>35000</v>
      </c>
      <c r="X106" s="178"/>
      <c r="Y106" s="182">
        <f t="shared" si="33"/>
        <v>35000</v>
      </c>
      <c r="Z106" s="183"/>
      <c r="AA106" s="158"/>
      <c r="AB106" s="158"/>
      <c r="AC106" s="158"/>
    </row>
    <row r="107" spans="1:29" ht="18" customHeight="1" x14ac:dyDescent="0.2">
      <c r="A107" s="163"/>
      <c r="B107" s="204" t="s">
        <v>114</v>
      </c>
      <c r="C107" s="195">
        <f>IF($J$1="January",R99,IF($J$1="February",R100,IF($J$1="March",R101,IF($J$1="April",R102,IF($J$1="May",R103,IF($J$1="June",R104,IF($J$1="July",R105,IF($J$1="August",R106,IF($J$1="August",R106,IF($J$1="September",R107,IF($J$1="October",R108,IF($J$1="November",R109,IF($J$1="December",R110)))))))))))))</f>
        <v>11</v>
      </c>
      <c r="D107" s="149"/>
      <c r="E107" s="149"/>
      <c r="F107" s="204" t="s">
        <v>115</v>
      </c>
      <c r="G107" s="190">
        <f>IF($J$1="January",Y99,IF($J$1="February",Y100,IF($J$1="March",Y101,IF($J$1="April",Y102,IF($J$1="May",Y103,IF($J$1="June",Y104,IF($J$1="July",Y105,IF($J$1="August",Y106,IF($J$1="August",Y106,IF($J$1="September",Y107,IF($J$1="October",Y108,IF($J$1="November",Y109,IF($J$1="December",Y110)))))))))))))</f>
        <v>40000</v>
      </c>
      <c r="H107" s="149"/>
      <c r="I107" s="529" t="s">
        <v>13</v>
      </c>
      <c r="J107" s="503"/>
      <c r="K107" s="37">
        <f>K105-K106</f>
        <v>41000</v>
      </c>
      <c r="L107" s="180"/>
      <c r="M107" s="158"/>
      <c r="N107" s="175"/>
      <c r="O107" s="176" t="s">
        <v>116</v>
      </c>
      <c r="P107" s="176">
        <v>28</v>
      </c>
      <c r="Q107" s="176">
        <v>2</v>
      </c>
      <c r="R107" s="176">
        <f>13-Q107</f>
        <v>11</v>
      </c>
      <c r="S107" s="156"/>
      <c r="T107" s="176" t="s">
        <v>116</v>
      </c>
      <c r="U107" s="182">
        <f>Y106</f>
        <v>35000</v>
      </c>
      <c r="V107" s="178">
        <v>10000</v>
      </c>
      <c r="W107" s="182">
        <f t="shared" si="32"/>
        <v>45000</v>
      </c>
      <c r="X107" s="178">
        <v>5000</v>
      </c>
      <c r="Y107" s="182">
        <f t="shared" si="33"/>
        <v>40000</v>
      </c>
      <c r="Z107" s="183"/>
      <c r="AA107" s="158"/>
      <c r="AB107" s="158"/>
      <c r="AC107" s="158"/>
    </row>
    <row r="108" spans="1:29" ht="18" customHeight="1" x14ac:dyDescent="0.2">
      <c r="A108" s="163"/>
      <c r="B108" s="149"/>
      <c r="C108" s="149"/>
      <c r="D108" s="149"/>
      <c r="E108" s="149"/>
      <c r="F108" s="149"/>
      <c r="G108" s="149"/>
      <c r="H108" s="149"/>
      <c r="I108" s="530"/>
      <c r="J108" s="531"/>
      <c r="K108" s="151"/>
      <c r="L108" s="186"/>
      <c r="M108" s="158"/>
      <c r="N108" s="175"/>
      <c r="O108" s="176" t="s">
        <v>117</v>
      </c>
      <c r="P108" s="176"/>
      <c r="Q108" s="176"/>
      <c r="R108" s="176">
        <v>0</v>
      </c>
      <c r="S108" s="156"/>
      <c r="T108" s="176" t="s">
        <v>117</v>
      </c>
      <c r="U108" s="182"/>
      <c r="V108" s="178"/>
      <c r="W108" s="182" t="str">
        <f t="shared" si="32"/>
        <v/>
      </c>
      <c r="X108" s="178"/>
      <c r="Y108" s="182" t="str">
        <f t="shared" si="33"/>
        <v/>
      </c>
      <c r="Z108" s="183"/>
      <c r="AA108" s="158"/>
      <c r="AB108" s="158"/>
      <c r="AC108" s="158"/>
    </row>
    <row r="109" spans="1:29" ht="18" customHeight="1" x14ac:dyDescent="0.3">
      <c r="A109" s="163"/>
      <c r="B109" s="147"/>
      <c r="C109" s="147"/>
      <c r="D109" s="147"/>
      <c r="E109" s="147"/>
      <c r="F109" s="147"/>
      <c r="G109" s="147"/>
      <c r="H109" s="147"/>
      <c r="I109" s="530"/>
      <c r="J109" s="531"/>
      <c r="K109" s="151"/>
      <c r="L109" s="186"/>
      <c r="M109" s="158"/>
      <c r="N109" s="175"/>
      <c r="O109" s="176" t="s">
        <v>118</v>
      </c>
      <c r="P109" s="176"/>
      <c r="Q109" s="176"/>
      <c r="R109" s="176">
        <v>0</v>
      </c>
      <c r="S109" s="156"/>
      <c r="T109" s="176" t="s">
        <v>118</v>
      </c>
      <c r="U109" s="182"/>
      <c r="V109" s="178"/>
      <c r="W109" s="182" t="str">
        <f t="shared" si="32"/>
        <v/>
      </c>
      <c r="X109" s="178"/>
      <c r="Y109" s="182" t="str">
        <f t="shared" si="33"/>
        <v/>
      </c>
      <c r="Z109" s="183"/>
      <c r="AA109" s="158"/>
      <c r="AB109" s="158"/>
      <c r="AC109" s="158"/>
    </row>
    <row r="110" spans="1:29" ht="18" customHeight="1" thickBot="1" x14ac:dyDescent="0.35">
      <c r="A110" s="197"/>
      <c r="B110" s="198"/>
      <c r="C110" s="198"/>
      <c r="D110" s="198"/>
      <c r="E110" s="198"/>
      <c r="F110" s="198" t="s">
        <v>131</v>
      </c>
      <c r="G110" s="198"/>
      <c r="H110" s="198"/>
      <c r="I110" s="198"/>
      <c r="J110" s="198"/>
      <c r="K110" s="198"/>
      <c r="L110" s="199"/>
      <c r="M110" s="158"/>
      <c r="N110" s="175"/>
      <c r="O110" s="176" t="s">
        <v>119</v>
      </c>
      <c r="P110" s="176"/>
      <c r="Q110" s="176"/>
      <c r="R110" s="176">
        <v>0</v>
      </c>
      <c r="S110" s="156"/>
      <c r="T110" s="176" t="s">
        <v>119</v>
      </c>
      <c r="U110" s="182"/>
      <c r="V110" s="178"/>
      <c r="W110" s="182" t="str">
        <f t="shared" si="32"/>
        <v/>
      </c>
      <c r="X110" s="178"/>
      <c r="Y110" s="182" t="str">
        <f t="shared" si="33"/>
        <v/>
      </c>
      <c r="Z110" s="183"/>
      <c r="AA110" s="158"/>
      <c r="AB110" s="158"/>
      <c r="AC110" s="158"/>
    </row>
    <row r="111" spans="1:29" ht="18" customHeight="1" thickBot="1" x14ac:dyDescent="0.25">
      <c r="A111" s="200"/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1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1"/>
      <c r="AB111" s="201"/>
      <c r="AC111" s="201"/>
    </row>
    <row r="112" spans="1:29" ht="18" customHeight="1" thickBot="1" x14ac:dyDescent="0.25">
      <c r="A112" s="532" t="s">
        <v>87</v>
      </c>
      <c r="B112" s="533"/>
      <c r="C112" s="533"/>
      <c r="D112" s="533"/>
      <c r="E112" s="533"/>
      <c r="F112" s="533"/>
      <c r="G112" s="533"/>
      <c r="H112" s="533"/>
      <c r="I112" s="533"/>
      <c r="J112" s="533"/>
      <c r="K112" s="533"/>
      <c r="L112" s="534"/>
      <c r="M112" s="159"/>
      <c r="N112" s="160"/>
      <c r="O112" s="524" t="s">
        <v>88</v>
      </c>
      <c r="P112" s="525"/>
      <c r="Q112" s="525"/>
      <c r="R112" s="526"/>
      <c r="S112" s="161"/>
      <c r="T112" s="524" t="s">
        <v>89</v>
      </c>
      <c r="U112" s="525"/>
      <c r="V112" s="525"/>
      <c r="W112" s="525"/>
      <c r="X112" s="525"/>
      <c r="Y112" s="526"/>
      <c r="Z112" s="162"/>
      <c r="AA112" s="159"/>
      <c r="AB112" s="158"/>
      <c r="AC112" s="158"/>
    </row>
    <row r="113" spans="1:29" ht="18" customHeight="1" x14ac:dyDescent="0.2">
      <c r="A113" s="163"/>
      <c r="B113" s="149"/>
      <c r="C113" s="535" t="s">
        <v>132</v>
      </c>
      <c r="D113" s="531"/>
      <c r="E113" s="531"/>
      <c r="F113" s="531"/>
      <c r="G113" s="164" t="str">
        <f>$J$1</f>
        <v>September</v>
      </c>
      <c r="H113" s="536">
        <f>$K$1</f>
        <v>2024</v>
      </c>
      <c r="I113" s="531"/>
      <c r="J113" s="149"/>
      <c r="K113" s="165"/>
      <c r="L113" s="166"/>
      <c r="M113" s="167"/>
      <c r="N113" s="168"/>
      <c r="O113" s="169" t="s">
        <v>91</v>
      </c>
      <c r="P113" s="169" t="s">
        <v>92</v>
      </c>
      <c r="Q113" s="169" t="s">
        <v>93</v>
      </c>
      <c r="R113" s="169" t="s">
        <v>94</v>
      </c>
      <c r="S113" s="170"/>
      <c r="T113" s="169" t="s">
        <v>91</v>
      </c>
      <c r="U113" s="169" t="s">
        <v>95</v>
      </c>
      <c r="V113" s="169" t="s">
        <v>9</v>
      </c>
      <c r="W113" s="169" t="s">
        <v>10</v>
      </c>
      <c r="X113" s="169" t="s">
        <v>11</v>
      </c>
      <c r="Y113" s="169" t="s">
        <v>96</v>
      </c>
      <c r="Z113" s="171"/>
      <c r="AA113" s="167"/>
      <c r="AB113" s="158"/>
      <c r="AC113" s="158"/>
    </row>
    <row r="114" spans="1:29" ht="18" customHeight="1" x14ac:dyDescent="0.2">
      <c r="A114" s="163"/>
      <c r="B114" s="149"/>
      <c r="C114" s="149"/>
      <c r="D114" s="172"/>
      <c r="E114" s="172"/>
      <c r="F114" s="172"/>
      <c r="G114" s="172"/>
      <c r="H114" s="172"/>
      <c r="I114" s="149"/>
      <c r="J114" s="173" t="s">
        <v>97</v>
      </c>
      <c r="K114" s="151">
        <f>35000+3000+5000+17000</f>
        <v>60000</v>
      </c>
      <c r="L114" s="174"/>
      <c r="M114" s="158"/>
      <c r="N114" s="175"/>
      <c r="O114" s="176" t="s">
        <v>98</v>
      </c>
      <c r="P114" s="176">
        <v>31</v>
      </c>
      <c r="Q114" s="176">
        <v>0</v>
      </c>
      <c r="R114" s="176">
        <f>15-Q114</f>
        <v>15</v>
      </c>
      <c r="S114" s="177"/>
      <c r="T114" s="176" t="s">
        <v>98</v>
      </c>
      <c r="U114" s="178">
        <v>63500</v>
      </c>
      <c r="V114" s="178"/>
      <c r="W114" s="178">
        <f>V114+U114</f>
        <v>63500</v>
      </c>
      <c r="X114" s="178">
        <v>5000</v>
      </c>
      <c r="Y114" s="178">
        <f>W114-X114</f>
        <v>58500</v>
      </c>
      <c r="Z114" s="171"/>
      <c r="AA114" s="158"/>
      <c r="AB114" s="158"/>
      <c r="AC114" s="158"/>
    </row>
    <row r="115" spans="1:29" ht="18" customHeight="1" x14ac:dyDescent="0.2">
      <c r="A115" s="163"/>
      <c r="B115" s="149" t="s">
        <v>99</v>
      </c>
      <c r="C115" s="148" t="s">
        <v>133</v>
      </c>
      <c r="D115" s="149"/>
      <c r="E115" s="149"/>
      <c r="F115" s="149"/>
      <c r="G115" s="149"/>
      <c r="H115" s="179"/>
      <c r="I115" s="172"/>
      <c r="J115" s="149"/>
      <c r="K115" s="149"/>
      <c r="L115" s="180"/>
      <c r="M115" s="159"/>
      <c r="N115" s="181"/>
      <c r="O115" s="176" t="s">
        <v>100</v>
      </c>
      <c r="P115" s="176">
        <v>29</v>
      </c>
      <c r="Q115" s="176">
        <v>0</v>
      </c>
      <c r="R115" s="176">
        <f t="shared" ref="R115:R125" si="35">IF(Q115="","",R114-Q115)</f>
        <v>15</v>
      </c>
      <c r="S115" s="156"/>
      <c r="T115" s="176" t="s">
        <v>100</v>
      </c>
      <c r="U115" s="182">
        <f t="shared" ref="U115:U116" si="36">Y114</f>
        <v>58500</v>
      </c>
      <c r="V115" s="178"/>
      <c r="W115" s="182">
        <f t="shared" ref="W115:W125" si="37">IF(U115="","",U115+V115)</f>
        <v>58500</v>
      </c>
      <c r="X115" s="178">
        <v>2500</v>
      </c>
      <c r="Y115" s="182">
        <f t="shared" ref="Y115:Y125" si="38">IF(W115="","",W115-X115)</f>
        <v>56000</v>
      </c>
      <c r="Z115" s="183"/>
      <c r="AA115" s="159"/>
      <c r="AB115" s="158"/>
      <c r="AC115" s="158"/>
    </row>
    <row r="116" spans="1:29" ht="18" customHeight="1" x14ac:dyDescent="0.2">
      <c r="A116" s="163"/>
      <c r="B116" s="184" t="s">
        <v>101</v>
      </c>
      <c r="C116" s="185" t="s">
        <v>134</v>
      </c>
      <c r="D116" s="149"/>
      <c r="E116" s="149"/>
      <c r="F116" s="529" t="s">
        <v>89</v>
      </c>
      <c r="G116" s="503"/>
      <c r="H116" s="149"/>
      <c r="I116" s="529" t="s">
        <v>102</v>
      </c>
      <c r="J116" s="502"/>
      <c r="K116" s="503"/>
      <c r="L116" s="186"/>
      <c r="M116" s="158"/>
      <c r="N116" s="175"/>
      <c r="O116" s="176" t="s">
        <v>103</v>
      </c>
      <c r="P116" s="176">
        <v>30</v>
      </c>
      <c r="Q116" s="176">
        <v>1</v>
      </c>
      <c r="R116" s="176">
        <f t="shared" si="35"/>
        <v>14</v>
      </c>
      <c r="S116" s="156"/>
      <c r="T116" s="176" t="s">
        <v>103</v>
      </c>
      <c r="U116" s="182">
        <f t="shared" si="36"/>
        <v>56000</v>
      </c>
      <c r="V116" s="178">
        <v>4000</v>
      </c>
      <c r="W116" s="182">
        <f t="shared" si="37"/>
        <v>60000</v>
      </c>
      <c r="X116" s="178"/>
      <c r="Y116" s="182">
        <f t="shared" si="38"/>
        <v>60000</v>
      </c>
      <c r="Z116" s="183"/>
      <c r="AA116" s="158"/>
      <c r="AB116" s="158"/>
      <c r="AC116" s="158"/>
    </row>
    <row r="117" spans="1:29" ht="18" customHeight="1" x14ac:dyDescent="0.2">
      <c r="A117" s="163"/>
      <c r="B117" s="149"/>
      <c r="C117" s="149"/>
      <c r="D117" s="149"/>
      <c r="E117" s="149"/>
      <c r="F117" s="149"/>
      <c r="G117" s="149"/>
      <c r="H117" s="187"/>
      <c r="I117" s="149"/>
      <c r="J117" s="149"/>
      <c r="K117" s="149"/>
      <c r="L117" s="188"/>
      <c r="M117" s="158"/>
      <c r="N117" s="175"/>
      <c r="O117" s="176" t="s">
        <v>104</v>
      </c>
      <c r="P117" s="176">
        <v>29</v>
      </c>
      <c r="Q117" s="176">
        <v>1</v>
      </c>
      <c r="R117" s="176">
        <f t="shared" si="35"/>
        <v>13</v>
      </c>
      <c r="S117" s="156"/>
      <c r="T117" s="176" t="s">
        <v>104</v>
      </c>
      <c r="U117" s="182">
        <f>IF($J$1="March","",Y116)</f>
        <v>60000</v>
      </c>
      <c r="V117" s="178">
        <v>18000</v>
      </c>
      <c r="W117" s="182">
        <f t="shared" si="37"/>
        <v>78000</v>
      </c>
      <c r="X117" s="178">
        <v>5000</v>
      </c>
      <c r="Y117" s="182">
        <f t="shared" si="38"/>
        <v>73000</v>
      </c>
      <c r="Z117" s="183"/>
      <c r="AA117" s="158"/>
      <c r="AB117" s="158"/>
      <c r="AC117" s="158"/>
    </row>
    <row r="118" spans="1:29" ht="18" customHeight="1" x14ac:dyDescent="0.2">
      <c r="A118" s="163"/>
      <c r="B118" s="527" t="s">
        <v>88</v>
      </c>
      <c r="C118" s="503"/>
      <c r="D118" s="149"/>
      <c r="E118" s="149"/>
      <c r="F118" s="189" t="s">
        <v>105</v>
      </c>
      <c r="G118" s="190">
        <f>IF($J$1="January",U114,IF($J$1="February",U115,IF($J$1="March",U116,IF($J$1="April",U117,IF($J$1="May",U118,IF($J$1="June",U119,IF($J$1="July",U120,IF($J$1="August",U121,IF($J$1="August",U121,IF($J$1="September",U122,IF($J$1="October",U123,IF($J$1="November",U124,IF($J$1="December",U125)))))))))))))</f>
        <v>59500</v>
      </c>
      <c r="H118" s="187"/>
      <c r="I118" s="191">
        <f>IF(C122&gt;0,$K$2,C120)</f>
        <v>30</v>
      </c>
      <c r="J118" s="192" t="s">
        <v>106</v>
      </c>
      <c r="K118" s="193">
        <f>K114/$K$2*I118</f>
        <v>60000</v>
      </c>
      <c r="L118" s="194"/>
      <c r="M118" s="158"/>
      <c r="N118" s="175"/>
      <c r="O118" s="176" t="s">
        <v>107</v>
      </c>
      <c r="P118" s="176">
        <v>31</v>
      </c>
      <c r="Q118" s="176">
        <v>0</v>
      </c>
      <c r="R118" s="176">
        <f t="shared" si="35"/>
        <v>13</v>
      </c>
      <c r="S118" s="156"/>
      <c r="T118" s="176" t="s">
        <v>107</v>
      </c>
      <c r="U118" s="182">
        <f t="shared" ref="U118:U119" si="39">Y117</f>
        <v>73000</v>
      </c>
      <c r="V118" s="178">
        <v>5000</v>
      </c>
      <c r="W118" s="182">
        <f t="shared" si="37"/>
        <v>78000</v>
      </c>
      <c r="X118" s="178">
        <v>5000</v>
      </c>
      <c r="Y118" s="182">
        <f t="shared" si="38"/>
        <v>73000</v>
      </c>
      <c r="Z118" s="183"/>
      <c r="AA118" s="158"/>
      <c r="AB118" s="158"/>
      <c r="AC118" s="158"/>
    </row>
    <row r="119" spans="1:29" ht="18" customHeight="1" x14ac:dyDescent="0.2">
      <c r="A119" s="163"/>
      <c r="B119" s="195"/>
      <c r="C119" s="195"/>
      <c r="D119" s="149"/>
      <c r="E119" s="149"/>
      <c r="F119" s="189" t="s">
        <v>9</v>
      </c>
      <c r="G119" s="190">
        <f>IF($J$1="January",V114,IF($J$1="February",V115,IF($J$1="March",V116,IF($J$1="April",V117,IF($J$1="May",V118,IF($J$1="June",V119,IF($J$1="July",V120,IF($J$1="August",V121,IF($J$1="August",V121,IF($J$1="September",V122,IF($J$1="October",V123,IF($J$1="November",V124,IF($J$1="December",V125)))))))))))))</f>
        <v>0</v>
      </c>
      <c r="H119" s="187"/>
      <c r="I119" s="191">
        <v>24</v>
      </c>
      <c r="J119" s="192" t="s">
        <v>108</v>
      </c>
      <c r="K119" s="190">
        <f>K114/$K$2/8*I119</f>
        <v>6000</v>
      </c>
      <c r="L119" s="196"/>
      <c r="M119" s="158"/>
      <c r="N119" s="175"/>
      <c r="O119" s="176" t="s">
        <v>84</v>
      </c>
      <c r="P119" s="176">
        <v>28</v>
      </c>
      <c r="Q119" s="176">
        <v>2</v>
      </c>
      <c r="R119" s="176">
        <f t="shared" si="35"/>
        <v>11</v>
      </c>
      <c r="S119" s="156"/>
      <c r="T119" s="176" t="s">
        <v>84</v>
      </c>
      <c r="U119" s="182">
        <f t="shared" si="39"/>
        <v>73000</v>
      </c>
      <c r="V119" s="178"/>
      <c r="W119" s="182">
        <f t="shared" si="37"/>
        <v>73000</v>
      </c>
      <c r="X119" s="178">
        <v>5000</v>
      </c>
      <c r="Y119" s="182">
        <f t="shared" si="38"/>
        <v>68000</v>
      </c>
      <c r="Z119" s="183"/>
      <c r="AA119" s="158"/>
      <c r="AB119" s="158"/>
      <c r="AC119" s="158"/>
    </row>
    <row r="120" spans="1:29" ht="18" customHeight="1" x14ac:dyDescent="0.2">
      <c r="A120" s="163"/>
      <c r="B120" s="189" t="s">
        <v>92</v>
      </c>
      <c r="C120" s="195">
        <f>IF($J$1="January",P114,IF($J$1="February",P115,IF($J$1="March",P116,IF($J$1="April",P117,IF($J$1="May",P118,IF($J$1="June",P119,IF($J$1="July",P120,IF($J$1="August",P121,IF($J$1="August",P121,IF($J$1="September",P122,IF($J$1="October",P123,IF($J$1="November",P124,IF($J$1="December",P125)))))))))))))</f>
        <v>30</v>
      </c>
      <c r="D120" s="149"/>
      <c r="E120" s="149"/>
      <c r="F120" s="189" t="s">
        <v>109</v>
      </c>
      <c r="G120" s="190">
        <f>IF($J$1="January",W114,IF($J$1="February",W115,IF($J$1="March",W116,IF($J$1="April",W117,IF($J$1="May",W118,IF($J$1="June",W119,IF($J$1="July",W120,IF($J$1="August",W121,IF($J$1="August",W121,IF($J$1="September",W122,IF($J$1="October",W123,IF($J$1="November",W124,IF($J$1="December",W125)))))))))))))</f>
        <v>59500</v>
      </c>
      <c r="H120" s="187"/>
      <c r="I120" s="528" t="s">
        <v>110</v>
      </c>
      <c r="J120" s="503"/>
      <c r="K120" s="190">
        <f>K118+K119</f>
        <v>66000</v>
      </c>
      <c r="L120" s="196"/>
      <c r="M120" s="158"/>
      <c r="N120" s="175"/>
      <c r="O120" s="176" t="s">
        <v>111</v>
      </c>
      <c r="P120" s="176">
        <v>31</v>
      </c>
      <c r="Q120" s="176">
        <v>0</v>
      </c>
      <c r="R120" s="176">
        <f t="shared" si="35"/>
        <v>11</v>
      </c>
      <c r="S120" s="156"/>
      <c r="T120" s="176" t="s">
        <v>111</v>
      </c>
      <c r="U120" s="182">
        <f>Y119</f>
        <v>68000</v>
      </c>
      <c r="V120" s="178"/>
      <c r="W120" s="182">
        <f t="shared" si="37"/>
        <v>68000</v>
      </c>
      <c r="X120" s="178">
        <v>5000</v>
      </c>
      <c r="Y120" s="182">
        <f t="shared" si="38"/>
        <v>63000</v>
      </c>
      <c r="Z120" s="183"/>
      <c r="AA120" s="158"/>
      <c r="AB120" s="158"/>
      <c r="AC120" s="158"/>
    </row>
    <row r="121" spans="1:29" ht="18" customHeight="1" x14ac:dyDescent="0.2">
      <c r="A121" s="163"/>
      <c r="B121" s="189" t="s">
        <v>93</v>
      </c>
      <c r="C121" s="195">
        <f>IF($J$1="January",Q114,IF($J$1="February",Q115,IF($J$1="March",Q116,IF($J$1="April",Q117,IF($J$1="May",Q118,IF($J$1="June",Q119,IF($J$1="July",Q120,IF($J$1="August",Q121,IF($J$1="August",Q121,IF($J$1="September",Q122,IF($J$1="October",Q123,IF($J$1="November",Q124,IF($J$1="December",Q125)))))))))))))</f>
        <v>0</v>
      </c>
      <c r="D121" s="149"/>
      <c r="E121" s="149"/>
      <c r="F121" s="189" t="s">
        <v>11</v>
      </c>
      <c r="G121" s="190">
        <f>IF($J$1="January",X114,IF($J$1="February",X115,IF($J$1="March",X116,IF($J$1="April",X117,IF($J$1="May",X118,IF($J$1="June",X119,IF($J$1="July",X120,IF($J$1="August",X121,IF($J$1="August",X121,IF($J$1="September",X122,IF($J$1="October",X123,IF($J$1="November",X124,IF($J$1="December",X125)))))))))))))</f>
        <v>0</v>
      </c>
      <c r="H121" s="187"/>
      <c r="I121" s="528" t="s">
        <v>112</v>
      </c>
      <c r="J121" s="503"/>
      <c r="K121" s="190">
        <f>G121</f>
        <v>0</v>
      </c>
      <c r="L121" s="196"/>
      <c r="M121" s="158"/>
      <c r="N121" s="175"/>
      <c r="O121" s="176" t="s">
        <v>113</v>
      </c>
      <c r="P121" s="176">
        <v>31</v>
      </c>
      <c r="Q121" s="176">
        <v>0</v>
      </c>
      <c r="R121" s="176">
        <f t="shared" si="35"/>
        <v>11</v>
      </c>
      <c r="S121" s="156"/>
      <c r="T121" s="176" t="s">
        <v>113</v>
      </c>
      <c r="U121" s="182">
        <f>Y120</f>
        <v>63000</v>
      </c>
      <c r="V121" s="178">
        <v>1500</v>
      </c>
      <c r="W121" s="182">
        <f t="shared" si="37"/>
        <v>64500</v>
      </c>
      <c r="X121" s="178">
        <v>5000</v>
      </c>
      <c r="Y121" s="182">
        <f t="shared" si="38"/>
        <v>59500</v>
      </c>
      <c r="Z121" s="183"/>
      <c r="AA121" s="158"/>
      <c r="AB121" s="158"/>
      <c r="AC121" s="158"/>
    </row>
    <row r="122" spans="1:29" ht="18" customHeight="1" x14ac:dyDescent="0.2">
      <c r="A122" s="163"/>
      <c r="B122" s="204" t="s">
        <v>114</v>
      </c>
      <c r="C122" s="195">
        <f>IF($J$1="January",R114,IF($J$1="February",R115,IF($J$1="March",R116,IF($J$1="April",R117,IF($J$1="May",R118,IF($J$1="June",R119,IF($J$1="July",R120,IF($J$1="August",R121,IF($J$1="August",R121,IF($J$1="September",R122,IF($J$1="October",R123,IF($J$1="November",R124,IF($J$1="December",R125)))))))))))))</f>
        <v>11</v>
      </c>
      <c r="D122" s="149"/>
      <c r="E122" s="149"/>
      <c r="F122" s="204" t="s">
        <v>115</v>
      </c>
      <c r="G122" s="190">
        <f>IF($J$1="January",Y114,IF($J$1="February",Y115,IF($J$1="March",Y116,IF($J$1="April",Y117,IF($J$1="May",Y118,IF($J$1="June",Y119,IF($J$1="July",Y120,IF($J$1="August",Y121,IF($J$1="August",Y121,IF($J$1="September",Y122,IF($J$1="October",Y123,IF($J$1="November",Y124,IF($J$1="December",Y125)))))))))))))</f>
        <v>59500</v>
      </c>
      <c r="H122" s="149"/>
      <c r="I122" s="529" t="s">
        <v>13</v>
      </c>
      <c r="J122" s="503"/>
      <c r="K122" s="37">
        <f>K120-K121</f>
        <v>66000</v>
      </c>
      <c r="L122" s="180"/>
      <c r="M122" s="158"/>
      <c r="N122" s="175"/>
      <c r="O122" s="176" t="s">
        <v>116</v>
      </c>
      <c r="P122" s="176">
        <v>30</v>
      </c>
      <c r="Q122" s="176">
        <v>0</v>
      </c>
      <c r="R122" s="176">
        <f t="shared" si="35"/>
        <v>11</v>
      </c>
      <c r="S122" s="156"/>
      <c r="T122" s="176" t="s">
        <v>116</v>
      </c>
      <c r="U122" s="182">
        <f>Y121</f>
        <v>59500</v>
      </c>
      <c r="V122" s="178"/>
      <c r="W122" s="182">
        <f t="shared" si="37"/>
        <v>59500</v>
      </c>
      <c r="X122" s="178"/>
      <c r="Y122" s="182">
        <f t="shared" si="38"/>
        <v>59500</v>
      </c>
      <c r="Z122" s="183"/>
      <c r="AA122" s="158"/>
      <c r="AB122" s="158"/>
      <c r="AC122" s="158"/>
    </row>
    <row r="123" spans="1:29" ht="18" customHeight="1" x14ac:dyDescent="0.2">
      <c r="A123" s="163"/>
      <c r="B123" s="149"/>
      <c r="C123" s="149"/>
      <c r="D123" s="149"/>
      <c r="E123" s="149"/>
      <c r="F123" s="149"/>
      <c r="G123" s="149"/>
      <c r="H123" s="149"/>
      <c r="I123" s="530"/>
      <c r="J123" s="531"/>
      <c r="K123" s="151"/>
      <c r="L123" s="186"/>
      <c r="M123" s="158"/>
      <c r="N123" s="175"/>
      <c r="O123" s="176" t="s">
        <v>117</v>
      </c>
      <c r="P123" s="176"/>
      <c r="Q123" s="176"/>
      <c r="R123" s="176" t="str">
        <f t="shared" si="35"/>
        <v/>
      </c>
      <c r="S123" s="156"/>
      <c r="T123" s="176" t="s">
        <v>117</v>
      </c>
      <c r="U123" s="182"/>
      <c r="V123" s="178"/>
      <c r="W123" s="182" t="str">
        <f t="shared" si="37"/>
        <v/>
      </c>
      <c r="X123" s="178"/>
      <c r="Y123" s="182" t="str">
        <f t="shared" si="38"/>
        <v/>
      </c>
      <c r="Z123" s="183"/>
      <c r="AA123" s="158"/>
      <c r="AB123" s="158"/>
      <c r="AC123" s="158"/>
    </row>
    <row r="124" spans="1:29" ht="18" customHeight="1" x14ac:dyDescent="0.3">
      <c r="A124" s="163"/>
      <c r="B124" s="147"/>
      <c r="C124" s="147"/>
      <c r="D124" s="147"/>
      <c r="E124" s="147"/>
      <c r="F124" s="147"/>
      <c r="G124" s="147"/>
      <c r="H124" s="147"/>
      <c r="I124" s="530"/>
      <c r="J124" s="531"/>
      <c r="K124" s="151"/>
      <c r="L124" s="186"/>
      <c r="M124" s="158"/>
      <c r="N124" s="175"/>
      <c r="O124" s="176" t="s">
        <v>118</v>
      </c>
      <c r="P124" s="176"/>
      <c r="Q124" s="176"/>
      <c r="R124" s="176" t="str">
        <f t="shared" si="35"/>
        <v/>
      </c>
      <c r="S124" s="156"/>
      <c r="T124" s="176" t="s">
        <v>118</v>
      </c>
      <c r="U124" s="182"/>
      <c r="V124" s="178"/>
      <c r="W124" s="182" t="str">
        <f t="shared" si="37"/>
        <v/>
      </c>
      <c r="X124" s="178"/>
      <c r="Y124" s="182" t="str">
        <f t="shared" si="38"/>
        <v/>
      </c>
      <c r="Z124" s="183"/>
      <c r="AA124" s="158"/>
      <c r="AB124" s="158"/>
      <c r="AC124" s="158"/>
    </row>
    <row r="125" spans="1:29" ht="18" customHeight="1" thickBot="1" x14ac:dyDescent="0.35">
      <c r="A125" s="197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9"/>
      <c r="M125" s="158"/>
      <c r="N125" s="175"/>
      <c r="O125" s="176" t="s">
        <v>119</v>
      </c>
      <c r="P125" s="176"/>
      <c r="Q125" s="176"/>
      <c r="R125" s="176" t="str">
        <f t="shared" si="35"/>
        <v/>
      </c>
      <c r="S125" s="156"/>
      <c r="T125" s="176" t="s">
        <v>119</v>
      </c>
      <c r="U125" s="182"/>
      <c r="V125" s="178"/>
      <c r="W125" s="182" t="str">
        <f t="shared" si="37"/>
        <v/>
      </c>
      <c r="X125" s="178"/>
      <c r="Y125" s="182" t="str">
        <f t="shared" si="38"/>
        <v/>
      </c>
      <c r="Z125" s="183"/>
      <c r="AA125" s="158"/>
      <c r="AB125" s="158"/>
      <c r="AC125" s="158"/>
    </row>
    <row r="126" spans="1:29" ht="18" customHeight="1" thickBot="1" x14ac:dyDescent="0.25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1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1"/>
      <c r="AB126" s="201"/>
      <c r="AC126" s="201"/>
    </row>
    <row r="127" spans="1:29" ht="18" customHeight="1" thickBot="1" x14ac:dyDescent="0.25">
      <c r="A127" s="532" t="s">
        <v>87</v>
      </c>
      <c r="B127" s="533"/>
      <c r="C127" s="533"/>
      <c r="D127" s="533"/>
      <c r="E127" s="533"/>
      <c r="F127" s="533"/>
      <c r="G127" s="533"/>
      <c r="H127" s="533"/>
      <c r="I127" s="533"/>
      <c r="J127" s="533"/>
      <c r="K127" s="533"/>
      <c r="L127" s="534"/>
      <c r="M127" s="159"/>
      <c r="N127" s="160"/>
      <c r="O127" s="524" t="s">
        <v>88</v>
      </c>
      <c r="P127" s="525"/>
      <c r="Q127" s="525"/>
      <c r="R127" s="526"/>
      <c r="S127" s="161"/>
      <c r="T127" s="524" t="s">
        <v>89</v>
      </c>
      <c r="U127" s="525"/>
      <c r="V127" s="525"/>
      <c r="W127" s="525"/>
      <c r="X127" s="525"/>
      <c r="Y127" s="526"/>
      <c r="Z127" s="162"/>
      <c r="AA127" s="159"/>
      <c r="AB127" s="158"/>
      <c r="AC127" s="158"/>
    </row>
    <row r="128" spans="1:29" ht="18" customHeight="1" x14ac:dyDescent="0.2">
      <c r="A128" s="163"/>
      <c r="B128" s="149"/>
      <c r="C128" s="535" t="s">
        <v>135</v>
      </c>
      <c r="D128" s="531"/>
      <c r="E128" s="531"/>
      <c r="F128" s="531"/>
      <c r="G128" s="164" t="str">
        <f>$J$1</f>
        <v>September</v>
      </c>
      <c r="H128" s="536">
        <f>$K$1</f>
        <v>2024</v>
      </c>
      <c r="I128" s="531"/>
      <c r="J128" s="149"/>
      <c r="K128" s="165"/>
      <c r="L128" s="166"/>
      <c r="M128" s="167"/>
      <c r="N128" s="168"/>
      <c r="O128" s="169" t="s">
        <v>91</v>
      </c>
      <c r="P128" s="169" t="s">
        <v>92</v>
      </c>
      <c r="Q128" s="169" t="s">
        <v>93</v>
      </c>
      <c r="R128" s="169" t="s">
        <v>94</v>
      </c>
      <c r="S128" s="170"/>
      <c r="T128" s="169" t="s">
        <v>91</v>
      </c>
      <c r="U128" s="169" t="s">
        <v>95</v>
      </c>
      <c r="V128" s="169" t="s">
        <v>9</v>
      </c>
      <c r="W128" s="169" t="s">
        <v>10</v>
      </c>
      <c r="X128" s="169" t="s">
        <v>11</v>
      </c>
      <c r="Y128" s="169" t="s">
        <v>96</v>
      </c>
      <c r="Z128" s="171"/>
      <c r="AA128" s="167"/>
      <c r="AB128" s="158"/>
      <c r="AC128" s="158"/>
    </row>
    <row r="129" spans="1:29" ht="18" customHeight="1" x14ac:dyDescent="0.2">
      <c r="A129" s="163"/>
      <c r="B129" s="149"/>
      <c r="C129" s="149"/>
      <c r="D129" s="172"/>
      <c r="E129" s="172"/>
      <c r="F129" s="172"/>
      <c r="G129" s="172"/>
      <c r="H129" s="172"/>
      <c r="I129" s="149"/>
      <c r="J129" s="173" t="s">
        <v>97</v>
      </c>
      <c r="K129" s="151">
        <f>35000+7000</f>
        <v>42000</v>
      </c>
      <c r="L129" s="174"/>
      <c r="M129" s="158"/>
      <c r="N129" s="175"/>
      <c r="O129" s="176" t="s">
        <v>98</v>
      </c>
      <c r="P129" s="176">
        <v>30</v>
      </c>
      <c r="Q129" s="176">
        <v>1</v>
      </c>
      <c r="R129" s="176">
        <f>15-Q129+2+4</f>
        <v>20</v>
      </c>
      <c r="S129" s="177"/>
      <c r="T129" s="176" t="s">
        <v>98</v>
      </c>
      <c r="U129" s="178"/>
      <c r="V129" s="178"/>
      <c r="W129" s="178">
        <f>V129+U129</f>
        <v>0</v>
      </c>
      <c r="X129" s="178"/>
      <c r="Y129" s="178">
        <f>W129-X129</f>
        <v>0</v>
      </c>
      <c r="Z129" s="171"/>
      <c r="AA129" s="158"/>
      <c r="AB129" s="158"/>
      <c r="AC129" s="158"/>
    </row>
    <row r="130" spans="1:29" ht="18" customHeight="1" x14ac:dyDescent="0.2">
      <c r="A130" s="163"/>
      <c r="B130" s="149" t="s">
        <v>99</v>
      </c>
      <c r="C130" s="148" t="s">
        <v>136</v>
      </c>
      <c r="D130" s="149"/>
      <c r="E130" s="149"/>
      <c r="F130" s="149"/>
      <c r="G130" s="172"/>
      <c r="H130" s="179"/>
      <c r="I130" s="172"/>
      <c r="J130" s="149"/>
      <c r="K130" s="149"/>
      <c r="L130" s="180"/>
      <c r="M130" s="159"/>
      <c r="N130" s="181"/>
      <c r="O130" s="176" t="s">
        <v>100</v>
      </c>
      <c r="P130" s="176">
        <v>26</v>
      </c>
      <c r="Q130" s="176">
        <v>3</v>
      </c>
      <c r="R130" s="176">
        <f t="shared" ref="R130:R140" si="40">IF(Q130="","",R129-Q130)</f>
        <v>17</v>
      </c>
      <c r="S130" s="156"/>
      <c r="T130" s="176" t="s">
        <v>100</v>
      </c>
      <c r="U130" s="182">
        <f t="shared" ref="U130:U136" si="41">Y129</f>
        <v>0</v>
      </c>
      <c r="V130" s="178"/>
      <c r="W130" s="182">
        <f t="shared" ref="W130:W140" si="42">IF(U130="","",U130+V130)</f>
        <v>0</v>
      </c>
      <c r="X130" s="178"/>
      <c r="Y130" s="182">
        <f t="shared" ref="Y130:Y140" si="43">IF(W130="","",W130-X130)</f>
        <v>0</v>
      </c>
      <c r="Z130" s="183"/>
      <c r="AA130" s="159"/>
      <c r="AB130" s="158"/>
      <c r="AC130" s="158"/>
    </row>
    <row r="131" spans="1:29" ht="18" customHeight="1" x14ac:dyDescent="0.2">
      <c r="A131" s="163"/>
      <c r="B131" s="184" t="s">
        <v>101</v>
      </c>
      <c r="C131" s="185"/>
      <c r="D131" s="149"/>
      <c r="E131" s="149"/>
      <c r="F131" s="529" t="s">
        <v>89</v>
      </c>
      <c r="G131" s="503"/>
      <c r="H131" s="149"/>
      <c r="I131" s="529" t="s">
        <v>102</v>
      </c>
      <c r="J131" s="502"/>
      <c r="K131" s="503"/>
      <c r="L131" s="186"/>
      <c r="M131" s="158"/>
      <c r="N131" s="175"/>
      <c r="O131" s="176" t="s">
        <v>103</v>
      </c>
      <c r="P131" s="176">
        <v>31</v>
      </c>
      <c r="Q131" s="176">
        <v>0</v>
      </c>
      <c r="R131" s="176">
        <f t="shared" si="40"/>
        <v>17</v>
      </c>
      <c r="S131" s="156"/>
      <c r="T131" s="176" t="s">
        <v>103</v>
      </c>
      <c r="U131" s="182">
        <f t="shared" si="41"/>
        <v>0</v>
      </c>
      <c r="V131" s="178"/>
      <c r="W131" s="182">
        <f t="shared" si="42"/>
        <v>0</v>
      </c>
      <c r="X131" s="178"/>
      <c r="Y131" s="182">
        <f t="shared" si="43"/>
        <v>0</v>
      </c>
      <c r="Z131" s="183"/>
      <c r="AA131" s="158"/>
      <c r="AB131" s="158"/>
      <c r="AC131" s="158"/>
    </row>
    <row r="132" spans="1:29" ht="18" customHeight="1" x14ac:dyDescent="0.2">
      <c r="A132" s="163"/>
      <c r="B132" s="149"/>
      <c r="C132" s="149"/>
      <c r="D132" s="149"/>
      <c r="E132" s="149"/>
      <c r="F132" s="149"/>
      <c r="G132" s="149"/>
      <c r="H132" s="187"/>
      <c r="I132" s="149"/>
      <c r="J132" s="149"/>
      <c r="K132" s="149"/>
      <c r="L132" s="188"/>
      <c r="M132" s="158"/>
      <c r="N132" s="175"/>
      <c r="O132" s="176" t="s">
        <v>104</v>
      </c>
      <c r="P132" s="176">
        <v>28</v>
      </c>
      <c r="Q132" s="176">
        <v>2</v>
      </c>
      <c r="R132" s="176">
        <f t="shared" si="40"/>
        <v>15</v>
      </c>
      <c r="S132" s="156"/>
      <c r="T132" s="176" t="s">
        <v>104</v>
      </c>
      <c r="U132" s="182">
        <f t="shared" si="41"/>
        <v>0</v>
      </c>
      <c r="V132" s="178"/>
      <c r="W132" s="182">
        <f t="shared" si="42"/>
        <v>0</v>
      </c>
      <c r="X132" s="178"/>
      <c r="Y132" s="182">
        <f t="shared" si="43"/>
        <v>0</v>
      </c>
      <c r="Z132" s="183"/>
      <c r="AA132" s="158"/>
      <c r="AB132" s="206">
        <f>K137+K122</f>
        <v>112550</v>
      </c>
      <c r="AC132" s="158"/>
    </row>
    <row r="133" spans="1:29" ht="18" customHeight="1" x14ac:dyDescent="0.2">
      <c r="A133" s="163"/>
      <c r="B133" s="527" t="s">
        <v>88</v>
      </c>
      <c r="C133" s="503"/>
      <c r="D133" s="149"/>
      <c r="E133" s="149"/>
      <c r="F133" s="189" t="s">
        <v>105</v>
      </c>
      <c r="G133" s="190">
        <f>IF($J$1="January",U129,IF($J$1="February",U130,IF($J$1="March",U131,IF($J$1="April",U132,IF($J$1="May",U133,IF($J$1="June",U134,IF($J$1="July",U135,IF($J$1="August",U136,IF($J$1="August",U136,IF($J$1="September",U137,IF($J$1="October",U138,IF($J$1="November",U139,IF($J$1="December",U140)))))))))))))</f>
        <v>0</v>
      </c>
      <c r="H133" s="187"/>
      <c r="I133" s="191">
        <f>IF(C137&gt;0,$K$2,C135)</f>
        <v>30</v>
      </c>
      <c r="J133" s="192" t="s">
        <v>106</v>
      </c>
      <c r="K133" s="193">
        <f>K129/$K$2*I133</f>
        <v>42000</v>
      </c>
      <c r="L133" s="194"/>
      <c r="M133" s="158"/>
      <c r="N133" s="175"/>
      <c r="O133" s="176" t="s">
        <v>107</v>
      </c>
      <c r="P133" s="176">
        <v>31</v>
      </c>
      <c r="Q133" s="176">
        <v>0</v>
      </c>
      <c r="R133" s="176">
        <f t="shared" si="40"/>
        <v>15</v>
      </c>
      <c r="S133" s="156"/>
      <c r="T133" s="176" t="s">
        <v>107</v>
      </c>
      <c r="U133" s="182">
        <f t="shared" si="41"/>
        <v>0</v>
      </c>
      <c r="V133" s="178"/>
      <c r="W133" s="182">
        <f t="shared" si="42"/>
        <v>0</v>
      </c>
      <c r="X133" s="178"/>
      <c r="Y133" s="182">
        <f t="shared" si="43"/>
        <v>0</v>
      </c>
      <c r="Z133" s="183"/>
      <c r="AA133" s="158"/>
      <c r="AB133" s="158"/>
      <c r="AC133" s="158"/>
    </row>
    <row r="134" spans="1:29" ht="18" customHeight="1" x14ac:dyDescent="0.2">
      <c r="A134" s="163"/>
      <c r="B134" s="195"/>
      <c r="C134" s="195"/>
      <c r="D134" s="149"/>
      <c r="E134" s="149"/>
      <c r="F134" s="189" t="s">
        <v>9</v>
      </c>
      <c r="G134" s="190">
        <f>IF($J$1="January",V129,IF($J$1="February",V130,IF($J$1="March",V131,IF($J$1="April",V132,IF($J$1="May",V133,IF($J$1="June",V134,IF($J$1="July",V135,IF($J$1="August",V136,IF($J$1="August",V136,IF($J$1="September",V137,IF($J$1="October",V138,IF($J$1="November",V139,IF($J$1="December",V140)))))))))))))</f>
        <v>0</v>
      </c>
      <c r="H134" s="187"/>
      <c r="I134" s="191">
        <v>26</v>
      </c>
      <c r="J134" s="192" t="s">
        <v>108</v>
      </c>
      <c r="K134" s="190">
        <f>K129/$K$2/8*I134</f>
        <v>4550</v>
      </c>
      <c r="L134" s="196"/>
      <c r="M134" s="158"/>
      <c r="N134" s="175"/>
      <c r="O134" s="176" t="s">
        <v>84</v>
      </c>
      <c r="P134" s="176">
        <v>30</v>
      </c>
      <c r="Q134" s="176">
        <v>0</v>
      </c>
      <c r="R134" s="176">
        <f t="shared" si="40"/>
        <v>15</v>
      </c>
      <c r="S134" s="156"/>
      <c r="T134" s="176" t="s">
        <v>84</v>
      </c>
      <c r="U134" s="182">
        <f t="shared" si="41"/>
        <v>0</v>
      </c>
      <c r="V134" s="178"/>
      <c r="W134" s="182">
        <f t="shared" si="42"/>
        <v>0</v>
      </c>
      <c r="X134" s="178"/>
      <c r="Y134" s="182">
        <f t="shared" si="43"/>
        <v>0</v>
      </c>
      <c r="Z134" s="183"/>
      <c r="AA134" s="158"/>
      <c r="AB134" s="158"/>
      <c r="AC134" s="158"/>
    </row>
    <row r="135" spans="1:29" ht="18" customHeight="1" x14ac:dyDescent="0.2">
      <c r="A135" s="163"/>
      <c r="B135" s="189" t="s">
        <v>92</v>
      </c>
      <c r="C135" s="195">
        <f>IF($J$1="January",P129,IF($J$1="February",P130,IF($J$1="March",P131,IF($J$1="April",P132,IF($J$1="May",P133,IF($J$1="June",P134,IF($J$1="July",P135,IF($J$1="August",P136,IF($J$1="August",P136,IF($J$1="September",P137,IF($J$1="October",P138,IF($J$1="November",P139,IF($J$1="December",P140)))))))))))))</f>
        <v>26</v>
      </c>
      <c r="D135" s="149"/>
      <c r="E135" s="149"/>
      <c r="F135" s="189" t="s">
        <v>109</v>
      </c>
      <c r="G135" s="190">
        <f>IF($J$1="January",W129,IF($J$1="February",W130,IF($J$1="March",W131,IF($J$1="April",W132,IF($J$1="May",W133,IF($J$1="June",W134,IF($J$1="July",W135,IF($J$1="August",W136,IF($J$1="August",W136,IF($J$1="September",W137,IF($J$1="October",W138,IF($J$1="November",W139,IF($J$1="December",W140)))))))))))))</f>
        <v>0</v>
      </c>
      <c r="H135" s="187"/>
      <c r="I135" s="528" t="s">
        <v>110</v>
      </c>
      <c r="J135" s="503"/>
      <c r="K135" s="190">
        <f>K133+K134</f>
        <v>46550</v>
      </c>
      <c r="L135" s="196"/>
      <c r="M135" s="158"/>
      <c r="N135" s="175"/>
      <c r="O135" s="176" t="s">
        <v>111</v>
      </c>
      <c r="P135" s="176">
        <v>31</v>
      </c>
      <c r="Q135" s="176">
        <v>0</v>
      </c>
      <c r="R135" s="176">
        <f t="shared" si="40"/>
        <v>15</v>
      </c>
      <c r="S135" s="156"/>
      <c r="T135" s="176" t="s">
        <v>111</v>
      </c>
      <c r="U135" s="182">
        <f t="shared" si="41"/>
        <v>0</v>
      </c>
      <c r="V135" s="178"/>
      <c r="W135" s="182">
        <f t="shared" si="42"/>
        <v>0</v>
      </c>
      <c r="X135" s="178"/>
      <c r="Y135" s="182">
        <f t="shared" si="43"/>
        <v>0</v>
      </c>
      <c r="Z135" s="183"/>
      <c r="AA135" s="158"/>
      <c r="AB135" s="158"/>
      <c r="AC135" s="158"/>
    </row>
    <row r="136" spans="1:29" ht="18" customHeight="1" x14ac:dyDescent="0.2">
      <c r="A136" s="163"/>
      <c r="B136" s="189" t="s">
        <v>93</v>
      </c>
      <c r="C136" s="195">
        <f>IF($J$1="January",Q129,IF($J$1="February",Q130,IF($J$1="March",Q131,IF($J$1="April",Q132,IF($J$1="May",Q133,IF($J$1="June",Q134,IF($J$1="July",Q135,IF($J$1="August",Q136,IF($J$1="August",Q136,IF($J$1="September",Q137,IF($J$1="October",Q138,IF($J$1="November",Q139,IF($J$1="December",Q140)))))))))))))</f>
        <v>4</v>
      </c>
      <c r="D136" s="149"/>
      <c r="E136" s="149"/>
      <c r="F136" s="189" t="s">
        <v>11</v>
      </c>
      <c r="G136" s="190">
        <f>IF($J$1="January",X129,IF($J$1="February",X130,IF($J$1="March",X131,IF($J$1="April",X132,IF($J$1="May",X133,IF($J$1="June",X134,IF($J$1="July",X135,IF($J$1="August",X136,IF($J$1="August",X136,IF($J$1="September",X137,IF($J$1="October",X138,IF($J$1="November",X139,IF($J$1="December",X140)))))))))))))</f>
        <v>0</v>
      </c>
      <c r="H136" s="187"/>
      <c r="I136" s="528" t="s">
        <v>112</v>
      </c>
      <c r="J136" s="503"/>
      <c r="K136" s="190">
        <f>G136</f>
        <v>0</v>
      </c>
      <c r="L136" s="196"/>
      <c r="M136" s="158"/>
      <c r="N136" s="175"/>
      <c r="O136" s="176" t="s">
        <v>113</v>
      </c>
      <c r="P136" s="176">
        <v>31</v>
      </c>
      <c r="Q136" s="176">
        <v>0</v>
      </c>
      <c r="R136" s="176">
        <f t="shared" si="40"/>
        <v>15</v>
      </c>
      <c r="S136" s="156"/>
      <c r="T136" s="176" t="s">
        <v>113</v>
      </c>
      <c r="U136" s="182">
        <f t="shared" si="41"/>
        <v>0</v>
      </c>
      <c r="V136" s="178"/>
      <c r="W136" s="182">
        <f t="shared" si="42"/>
        <v>0</v>
      </c>
      <c r="X136" s="178"/>
      <c r="Y136" s="182">
        <f t="shared" si="43"/>
        <v>0</v>
      </c>
      <c r="Z136" s="183"/>
      <c r="AA136" s="158"/>
      <c r="AB136" s="158"/>
      <c r="AC136" s="158"/>
    </row>
    <row r="137" spans="1:29" ht="18" customHeight="1" x14ac:dyDescent="0.2">
      <c r="A137" s="163"/>
      <c r="B137" s="204" t="s">
        <v>114</v>
      </c>
      <c r="C137" s="195">
        <f>IF($J$1="January",R129,IF($J$1="February",R130,IF($J$1="March",R131,IF($J$1="April",R132,IF($J$1="May",R133,IF($J$1="June",R134,IF($J$1="July",R135,IF($J$1="August",R136,IF($J$1="August",R136,IF($J$1="September",R137,IF($J$1="October",R138,IF($J$1="November",R139,IF($J$1="December",R140)))))))))))))</f>
        <v>11</v>
      </c>
      <c r="D137" s="149"/>
      <c r="E137" s="149"/>
      <c r="F137" s="204" t="s">
        <v>115</v>
      </c>
      <c r="G137" s="190">
        <f>IF($J$1="January",Y129,IF($J$1="February",Y130,IF($J$1="March",Y131,IF($J$1="April",Y132,IF($J$1="May",Y133,IF($J$1="June",Y134,IF($J$1="July",Y135,IF($J$1="August",Y136,IF($J$1="August",Y136,IF($J$1="September",Y137,IF($J$1="October",Y138,IF($J$1="November",Y139,IF($J$1="December",Y140)))))))))))))</f>
        <v>0</v>
      </c>
      <c r="H137" s="149"/>
      <c r="I137" s="529" t="s">
        <v>13</v>
      </c>
      <c r="J137" s="503"/>
      <c r="K137" s="37">
        <f>K135-K136</f>
        <v>46550</v>
      </c>
      <c r="L137" s="180"/>
      <c r="M137" s="158"/>
      <c r="N137" s="175"/>
      <c r="O137" s="176" t="s">
        <v>116</v>
      </c>
      <c r="P137" s="176">
        <v>26</v>
      </c>
      <c r="Q137" s="176">
        <v>4</v>
      </c>
      <c r="R137" s="176">
        <f t="shared" si="40"/>
        <v>11</v>
      </c>
      <c r="S137" s="156"/>
      <c r="T137" s="176" t="s">
        <v>116</v>
      </c>
      <c r="U137" s="182">
        <f>IF($J$1="September",Y136,"")</f>
        <v>0</v>
      </c>
      <c r="V137" s="178"/>
      <c r="W137" s="182">
        <f t="shared" si="42"/>
        <v>0</v>
      </c>
      <c r="X137" s="178"/>
      <c r="Y137" s="182">
        <f t="shared" si="43"/>
        <v>0</v>
      </c>
      <c r="Z137" s="183"/>
      <c r="AA137" s="158"/>
      <c r="AB137" s="158"/>
      <c r="AC137" s="158"/>
    </row>
    <row r="138" spans="1:29" ht="18" customHeight="1" x14ac:dyDescent="0.2">
      <c r="A138" s="163"/>
      <c r="B138" s="149"/>
      <c r="C138" s="149"/>
      <c r="D138" s="149"/>
      <c r="E138" s="149"/>
      <c r="F138" s="149"/>
      <c r="G138" s="149"/>
      <c r="H138" s="149"/>
      <c r="I138" s="530"/>
      <c r="J138" s="531"/>
      <c r="K138" s="151"/>
      <c r="L138" s="186"/>
      <c r="M138" s="158"/>
      <c r="N138" s="175"/>
      <c r="O138" s="176" t="s">
        <v>117</v>
      </c>
      <c r="P138" s="176"/>
      <c r="Q138" s="176"/>
      <c r="R138" s="176" t="str">
        <f t="shared" si="40"/>
        <v/>
      </c>
      <c r="S138" s="156"/>
      <c r="T138" s="176" t="s">
        <v>117</v>
      </c>
      <c r="U138" s="182" t="str">
        <f>IF($J$1="October",Y137,"")</f>
        <v/>
      </c>
      <c r="V138" s="178"/>
      <c r="W138" s="182" t="str">
        <f t="shared" si="42"/>
        <v/>
      </c>
      <c r="X138" s="178"/>
      <c r="Y138" s="182" t="str">
        <f t="shared" si="43"/>
        <v/>
      </c>
      <c r="Z138" s="183"/>
      <c r="AA138" s="158"/>
      <c r="AB138" s="158"/>
      <c r="AC138" s="158"/>
    </row>
    <row r="139" spans="1:29" ht="18" customHeight="1" x14ac:dyDescent="0.3">
      <c r="A139" s="163"/>
      <c r="B139" s="147"/>
      <c r="C139" s="147"/>
      <c r="D139" s="147"/>
      <c r="E139" s="147"/>
      <c r="F139" s="147"/>
      <c r="G139" s="147"/>
      <c r="H139" s="147"/>
      <c r="I139" s="530"/>
      <c r="J139" s="531"/>
      <c r="K139" s="151"/>
      <c r="L139" s="186"/>
      <c r="M139" s="158"/>
      <c r="N139" s="175"/>
      <c r="O139" s="176" t="s">
        <v>118</v>
      </c>
      <c r="P139" s="176"/>
      <c r="Q139" s="176"/>
      <c r="R139" s="176" t="str">
        <f t="shared" si="40"/>
        <v/>
      </c>
      <c r="S139" s="156"/>
      <c r="T139" s="176" t="s">
        <v>118</v>
      </c>
      <c r="U139" s="182" t="str">
        <f>Y138</f>
        <v/>
      </c>
      <c r="V139" s="178"/>
      <c r="W139" s="182" t="str">
        <f t="shared" si="42"/>
        <v/>
      </c>
      <c r="X139" s="178"/>
      <c r="Y139" s="182" t="str">
        <f t="shared" si="43"/>
        <v/>
      </c>
      <c r="Z139" s="183"/>
      <c r="AA139" s="158"/>
      <c r="AB139" s="158"/>
      <c r="AC139" s="158"/>
    </row>
    <row r="140" spans="1:29" ht="18" customHeight="1" thickBot="1" x14ac:dyDescent="0.35">
      <c r="A140" s="197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9"/>
      <c r="M140" s="158"/>
      <c r="N140" s="175"/>
      <c r="O140" s="176" t="s">
        <v>119</v>
      </c>
      <c r="P140" s="176"/>
      <c r="Q140" s="176"/>
      <c r="R140" s="176" t="str">
        <f t="shared" si="40"/>
        <v/>
      </c>
      <c r="S140" s="156"/>
      <c r="T140" s="176" t="s">
        <v>119</v>
      </c>
      <c r="U140" s="182">
        <v>0</v>
      </c>
      <c r="V140" s="178"/>
      <c r="W140" s="182">
        <f t="shared" si="42"/>
        <v>0</v>
      </c>
      <c r="X140" s="178"/>
      <c r="Y140" s="182">
        <f t="shared" si="43"/>
        <v>0</v>
      </c>
      <c r="Z140" s="183"/>
      <c r="AA140" s="158"/>
      <c r="AB140" s="158"/>
      <c r="AC140" s="158"/>
    </row>
    <row r="141" spans="1:29" ht="18" customHeight="1" thickBot="1" x14ac:dyDescent="0.25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1"/>
      <c r="N141" s="202"/>
      <c r="O141" s="202"/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1"/>
      <c r="AB141" s="201"/>
      <c r="AC141" s="201"/>
    </row>
    <row r="142" spans="1:29" ht="18" customHeight="1" thickBot="1" x14ac:dyDescent="0.25">
      <c r="A142" s="532" t="s">
        <v>87</v>
      </c>
      <c r="B142" s="533"/>
      <c r="C142" s="533"/>
      <c r="D142" s="533"/>
      <c r="E142" s="533"/>
      <c r="F142" s="533"/>
      <c r="G142" s="533"/>
      <c r="H142" s="533"/>
      <c r="I142" s="533"/>
      <c r="J142" s="533"/>
      <c r="K142" s="533"/>
      <c r="L142" s="534"/>
      <c r="M142" s="159"/>
      <c r="N142" s="160"/>
      <c r="O142" s="524" t="s">
        <v>88</v>
      </c>
      <c r="P142" s="525"/>
      <c r="Q142" s="525"/>
      <c r="R142" s="526"/>
      <c r="S142" s="161"/>
      <c r="T142" s="524" t="s">
        <v>89</v>
      </c>
      <c r="U142" s="525"/>
      <c r="V142" s="525"/>
      <c r="W142" s="525"/>
      <c r="X142" s="525"/>
      <c r="Y142" s="526"/>
      <c r="Z142" s="162"/>
      <c r="AA142" s="159"/>
      <c r="AB142" s="158"/>
      <c r="AC142" s="158"/>
    </row>
    <row r="143" spans="1:29" ht="18" customHeight="1" x14ac:dyDescent="0.2">
      <c r="A143" s="163"/>
      <c r="B143" s="149"/>
      <c r="C143" s="535" t="s">
        <v>137</v>
      </c>
      <c r="D143" s="531"/>
      <c r="E143" s="531"/>
      <c r="F143" s="531"/>
      <c r="G143" s="164" t="str">
        <f>$J$1</f>
        <v>September</v>
      </c>
      <c r="H143" s="536">
        <f>$K$1</f>
        <v>2024</v>
      </c>
      <c r="I143" s="531"/>
      <c r="J143" s="149"/>
      <c r="K143" s="165"/>
      <c r="L143" s="166"/>
      <c r="M143" s="167"/>
      <c r="N143" s="168"/>
      <c r="O143" s="169" t="s">
        <v>91</v>
      </c>
      <c r="P143" s="169" t="s">
        <v>92</v>
      </c>
      <c r="Q143" s="169" t="s">
        <v>93</v>
      </c>
      <c r="R143" s="169" t="s">
        <v>94</v>
      </c>
      <c r="S143" s="170"/>
      <c r="T143" s="169" t="s">
        <v>91</v>
      </c>
      <c r="U143" s="169" t="s">
        <v>95</v>
      </c>
      <c r="V143" s="169" t="s">
        <v>9</v>
      </c>
      <c r="W143" s="169" t="s">
        <v>10</v>
      </c>
      <c r="X143" s="169" t="s">
        <v>11</v>
      </c>
      <c r="Y143" s="169" t="s">
        <v>96</v>
      </c>
      <c r="Z143" s="171"/>
      <c r="AA143" s="167"/>
      <c r="AB143" s="158"/>
      <c r="AC143" s="158"/>
    </row>
    <row r="144" spans="1:29" ht="18" customHeight="1" x14ac:dyDescent="0.2">
      <c r="A144" s="163"/>
      <c r="B144" s="149"/>
      <c r="C144" s="149"/>
      <c r="D144" s="172"/>
      <c r="E144" s="172"/>
      <c r="F144" s="172"/>
      <c r="G144" s="172"/>
      <c r="H144" s="172"/>
      <c r="I144" s="149"/>
      <c r="J144" s="173" t="s">
        <v>97</v>
      </c>
      <c r="K144" s="151">
        <f>30000+5000+5000</f>
        <v>40000</v>
      </c>
      <c r="L144" s="174"/>
      <c r="M144" s="158"/>
      <c r="N144" s="175"/>
      <c r="O144" s="176" t="s">
        <v>98</v>
      </c>
      <c r="P144" s="176">
        <v>31</v>
      </c>
      <c r="Q144" s="176">
        <v>0</v>
      </c>
      <c r="R144" s="176">
        <v>7</v>
      </c>
      <c r="S144" s="177"/>
      <c r="T144" s="176" t="s">
        <v>98</v>
      </c>
      <c r="U144" s="178">
        <v>40867</v>
      </c>
      <c r="V144" s="178"/>
      <c r="W144" s="178">
        <f>V144+U144</f>
        <v>40867</v>
      </c>
      <c r="X144" s="178">
        <v>5000</v>
      </c>
      <c r="Y144" s="178">
        <f>W144-X144</f>
        <v>35867</v>
      </c>
      <c r="Z144" s="171"/>
      <c r="AA144" s="158"/>
      <c r="AB144" s="158"/>
      <c r="AC144" s="158"/>
    </row>
    <row r="145" spans="1:29" ht="18" customHeight="1" x14ac:dyDescent="0.2">
      <c r="A145" s="163"/>
      <c r="B145" s="149" t="s">
        <v>99</v>
      </c>
      <c r="C145" s="148" t="s">
        <v>138</v>
      </c>
      <c r="D145" s="149"/>
      <c r="E145" s="149"/>
      <c r="F145" s="149"/>
      <c r="G145" s="149"/>
      <c r="H145" s="179"/>
      <c r="I145" s="172"/>
      <c r="J145" s="149"/>
      <c r="K145" s="149"/>
      <c r="L145" s="180"/>
      <c r="M145" s="159"/>
      <c r="N145" s="181"/>
      <c r="O145" s="176" t="s">
        <v>100</v>
      </c>
      <c r="P145" s="176">
        <v>29</v>
      </c>
      <c r="Q145" s="176">
        <v>0</v>
      </c>
      <c r="R145" s="176">
        <f t="shared" ref="R145:R155" si="44">IF(Q145="","",R144-Q145)</f>
        <v>7</v>
      </c>
      <c r="S145" s="156"/>
      <c r="T145" s="176" t="s">
        <v>100</v>
      </c>
      <c r="U145" s="182">
        <f t="shared" ref="U145:U146" si="45">Y144</f>
        <v>35867</v>
      </c>
      <c r="V145" s="178">
        <v>3000</v>
      </c>
      <c r="W145" s="182">
        <f t="shared" ref="W145:W155" si="46">IF(U145="","",U145+V145)</f>
        <v>38867</v>
      </c>
      <c r="X145" s="178">
        <v>3000</v>
      </c>
      <c r="Y145" s="182">
        <f t="shared" ref="Y145:Y155" si="47">IF(W145="","",W145-X145)</f>
        <v>35867</v>
      </c>
      <c r="Z145" s="183"/>
      <c r="AA145" s="159"/>
      <c r="AB145" s="158"/>
      <c r="AC145" s="158"/>
    </row>
    <row r="146" spans="1:29" ht="18" customHeight="1" x14ac:dyDescent="0.2">
      <c r="A146" s="163"/>
      <c r="B146" s="184" t="s">
        <v>101</v>
      </c>
      <c r="C146" s="185"/>
      <c r="D146" s="149"/>
      <c r="E146" s="149"/>
      <c r="F146" s="529" t="s">
        <v>89</v>
      </c>
      <c r="G146" s="503"/>
      <c r="H146" s="149"/>
      <c r="I146" s="529" t="s">
        <v>102</v>
      </c>
      <c r="J146" s="502"/>
      <c r="K146" s="503"/>
      <c r="L146" s="186"/>
      <c r="M146" s="158"/>
      <c r="N146" s="175"/>
      <c r="O146" s="176" t="s">
        <v>103</v>
      </c>
      <c r="P146" s="176">
        <v>31</v>
      </c>
      <c r="Q146" s="176">
        <v>0</v>
      </c>
      <c r="R146" s="176">
        <f t="shared" si="44"/>
        <v>7</v>
      </c>
      <c r="S146" s="156"/>
      <c r="T146" s="176" t="s">
        <v>103</v>
      </c>
      <c r="U146" s="182">
        <f t="shared" si="45"/>
        <v>35867</v>
      </c>
      <c r="V146" s="178">
        <v>10000</v>
      </c>
      <c r="W146" s="182">
        <f t="shared" si="46"/>
        <v>45867</v>
      </c>
      <c r="X146" s="178">
        <v>5000</v>
      </c>
      <c r="Y146" s="182">
        <f t="shared" si="47"/>
        <v>40867</v>
      </c>
      <c r="Z146" s="183"/>
      <c r="AA146" s="158"/>
      <c r="AB146" s="158"/>
      <c r="AC146" s="158"/>
    </row>
    <row r="147" spans="1:29" ht="18" customHeight="1" x14ac:dyDescent="0.2">
      <c r="A147" s="163"/>
      <c r="B147" s="149"/>
      <c r="C147" s="149"/>
      <c r="D147" s="149"/>
      <c r="E147" s="149"/>
      <c r="F147" s="149"/>
      <c r="G147" s="149"/>
      <c r="H147" s="187"/>
      <c r="I147" s="149"/>
      <c r="J147" s="149"/>
      <c r="K147" s="149"/>
      <c r="L147" s="188"/>
      <c r="M147" s="158"/>
      <c r="N147" s="175"/>
      <c r="O147" s="176" t="s">
        <v>104</v>
      </c>
      <c r="P147" s="176">
        <v>28</v>
      </c>
      <c r="Q147" s="176">
        <v>2</v>
      </c>
      <c r="R147" s="176">
        <f t="shared" si="44"/>
        <v>5</v>
      </c>
      <c r="S147" s="156"/>
      <c r="T147" s="176" t="s">
        <v>104</v>
      </c>
      <c r="U147" s="182">
        <f>IF($J$1="March","",Y146)</f>
        <v>40867</v>
      </c>
      <c r="V147" s="178"/>
      <c r="W147" s="182">
        <f t="shared" si="46"/>
        <v>40867</v>
      </c>
      <c r="X147" s="178">
        <v>5000</v>
      </c>
      <c r="Y147" s="182">
        <f t="shared" si="47"/>
        <v>35867</v>
      </c>
      <c r="Z147" s="183"/>
      <c r="AA147" s="158"/>
      <c r="AB147" s="158"/>
      <c r="AC147" s="158"/>
    </row>
    <row r="148" spans="1:29" ht="18" customHeight="1" x14ac:dyDescent="0.2">
      <c r="A148" s="163"/>
      <c r="B148" s="527" t="s">
        <v>88</v>
      </c>
      <c r="C148" s="503"/>
      <c r="D148" s="149"/>
      <c r="E148" s="149"/>
      <c r="F148" s="189" t="s">
        <v>105</v>
      </c>
      <c r="G148" s="190">
        <f>IF($J$1="January",U144,IF($J$1="February",U145,IF($J$1="March",U146,IF($J$1="April",U147,IF($J$1="May",U148,IF($J$1="June",U149,IF($J$1="July",U150,IF($J$1="August",U151,IF($J$1="August",U151,IF($J$1="September",U152,IF($J$1="October",U153,IF($J$1="November",U154,IF($J$1="December",U155)))))))))))))</f>
        <v>30867</v>
      </c>
      <c r="H148" s="187"/>
      <c r="I148" s="191">
        <f>IF(C152&gt;0,$K$2,C150)</f>
        <v>30</v>
      </c>
      <c r="J148" s="192" t="s">
        <v>106</v>
      </c>
      <c r="K148" s="193">
        <f>K144/$K$2*I148</f>
        <v>40000</v>
      </c>
      <c r="L148" s="194"/>
      <c r="M148" s="158"/>
      <c r="N148" s="175"/>
      <c r="O148" s="176" t="s">
        <v>107</v>
      </c>
      <c r="P148" s="176">
        <v>31</v>
      </c>
      <c r="Q148" s="176">
        <v>0</v>
      </c>
      <c r="R148" s="176">
        <f t="shared" si="44"/>
        <v>5</v>
      </c>
      <c r="S148" s="156"/>
      <c r="T148" s="176" t="s">
        <v>107</v>
      </c>
      <c r="U148" s="182">
        <f t="shared" ref="U148:U149" si="48">Y147</f>
        <v>35867</v>
      </c>
      <c r="V148" s="178"/>
      <c r="W148" s="182">
        <f t="shared" si="46"/>
        <v>35867</v>
      </c>
      <c r="X148" s="178"/>
      <c r="Y148" s="182">
        <f t="shared" si="47"/>
        <v>35867</v>
      </c>
      <c r="Z148" s="183"/>
      <c r="AA148" s="158"/>
      <c r="AB148" s="158"/>
      <c r="AC148" s="158"/>
    </row>
    <row r="149" spans="1:29" ht="18" customHeight="1" x14ac:dyDescent="0.2">
      <c r="A149" s="163"/>
      <c r="B149" s="195"/>
      <c r="C149" s="195"/>
      <c r="D149" s="149"/>
      <c r="E149" s="149"/>
      <c r="F149" s="189" t="s">
        <v>9</v>
      </c>
      <c r="G149" s="190">
        <f>IF($J$1="January",V144,IF($J$1="February",V145,IF($J$1="March",V146,IF($J$1="April",V147,IF($J$1="May",V148,IF($J$1="June",V149,IF($J$1="July",V150,IF($J$1="August",V151,IF($J$1="August",V151,IF($J$1="September",V152,IF($J$1="October",V153,IF($J$1="November",V154,IF($J$1="December",V155)))))))))))))</f>
        <v>5000</v>
      </c>
      <c r="H149" s="187"/>
      <c r="I149" s="207">
        <v>75</v>
      </c>
      <c r="J149" s="192" t="s">
        <v>108</v>
      </c>
      <c r="K149" s="190">
        <f>K144/$K$2/8*I149</f>
        <v>12500</v>
      </c>
      <c r="L149" s="196"/>
      <c r="M149" s="158"/>
      <c r="N149" s="175"/>
      <c r="O149" s="176" t="s">
        <v>84</v>
      </c>
      <c r="P149" s="176">
        <v>30</v>
      </c>
      <c r="Q149" s="176">
        <v>0</v>
      </c>
      <c r="R149" s="176">
        <f t="shared" si="44"/>
        <v>5</v>
      </c>
      <c r="S149" s="156"/>
      <c r="T149" s="176" t="s">
        <v>84</v>
      </c>
      <c r="U149" s="182">
        <f t="shared" si="48"/>
        <v>35867</v>
      </c>
      <c r="V149" s="178">
        <v>5000</v>
      </c>
      <c r="W149" s="182">
        <f t="shared" si="46"/>
        <v>40867</v>
      </c>
      <c r="X149" s="178"/>
      <c r="Y149" s="182">
        <f t="shared" si="47"/>
        <v>40867</v>
      </c>
      <c r="Z149" s="183"/>
      <c r="AA149" s="158"/>
      <c r="AB149" s="158"/>
      <c r="AC149" s="158"/>
    </row>
    <row r="150" spans="1:29" ht="18" customHeight="1" x14ac:dyDescent="0.2">
      <c r="A150" s="163"/>
      <c r="B150" s="189" t="s">
        <v>92</v>
      </c>
      <c r="C150" s="195">
        <f>IF($J$1="January",P144,IF($J$1="February",P145,IF($J$1="March",P146,IF($J$1="April",P147,IF($J$1="May",P148,IF($J$1="June",P149,IF($J$1="July",P150,IF($J$1="August",P151,IF($J$1="August",P151,IF($J$1="September",P152,IF($J$1="October",P153,IF($J$1="November",P154,IF($J$1="December",P155)))))))))))))</f>
        <v>30</v>
      </c>
      <c r="D150" s="149"/>
      <c r="E150" s="149"/>
      <c r="F150" s="189" t="s">
        <v>109</v>
      </c>
      <c r="G150" s="190">
        <f>IF($J$1="January",W144,IF($J$1="February",W145,IF($J$1="March",W146,IF($J$1="April",W147,IF($J$1="May",W148,IF($J$1="June",W149,IF($J$1="July",W150,IF($J$1="August",W151,IF($J$1="August",W151,IF($J$1="September",W152,IF($J$1="October",W153,IF($J$1="November",W154,IF($J$1="December",W155)))))))))))))</f>
        <v>35867</v>
      </c>
      <c r="H150" s="187"/>
      <c r="I150" s="528" t="s">
        <v>110</v>
      </c>
      <c r="J150" s="503"/>
      <c r="K150" s="190">
        <f>K148+K149</f>
        <v>52500</v>
      </c>
      <c r="L150" s="196"/>
      <c r="M150" s="158"/>
      <c r="N150" s="175"/>
      <c r="O150" s="176" t="s">
        <v>111</v>
      </c>
      <c r="P150" s="176">
        <v>31</v>
      </c>
      <c r="Q150" s="176">
        <v>0</v>
      </c>
      <c r="R150" s="176">
        <f t="shared" si="44"/>
        <v>5</v>
      </c>
      <c r="S150" s="156"/>
      <c r="T150" s="176" t="s">
        <v>111</v>
      </c>
      <c r="U150" s="182">
        <f>Y149</f>
        <v>40867</v>
      </c>
      <c r="V150" s="178">
        <v>2000</v>
      </c>
      <c r="W150" s="182">
        <f t="shared" si="46"/>
        <v>42867</v>
      </c>
      <c r="X150" s="178">
        <v>7000</v>
      </c>
      <c r="Y150" s="182">
        <f t="shared" si="47"/>
        <v>35867</v>
      </c>
      <c r="Z150" s="183"/>
      <c r="AA150" s="158"/>
      <c r="AB150" s="158"/>
      <c r="AC150" s="158"/>
    </row>
    <row r="151" spans="1:29" ht="18" customHeight="1" x14ac:dyDescent="0.2">
      <c r="A151" s="163"/>
      <c r="B151" s="189" t="s">
        <v>93</v>
      </c>
      <c r="C151" s="195">
        <f>IF($J$1="January",Q144,IF($J$1="February",Q145,IF($J$1="March",Q146,IF($J$1="April",Q147,IF($J$1="May",Q148,IF($J$1="June",Q149,IF($J$1="July",Q150,IF($J$1="August",Q151,IF($J$1="August",Q151,IF($J$1="September",Q152,IF($J$1="October",Q153,IF($J$1="November",Q154,IF($J$1="December",Q155)))))))))))))</f>
        <v>0</v>
      </c>
      <c r="D151" s="149"/>
      <c r="E151" s="149"/>
      <c r="F151" s="189" t="s">
        <v>11</v>
      </c>
      <c r="G151" s="190">
        <f>IF($J$1="January",X144,IF($J$1="February",X145,IF($J$1="March",X146,IF($J$1="April",X147,IF($J$1="May",X148,IF($J$1="June",X149,IF($J$1="July",X150,IF($J$1="August",X151,IF($J$1="August",X151,IF($J$1="September",X152,IF($J$1="October",X153,IF($J$1="November",X154,IF($J$1="December",X155)))))))))))))</f>
        <v>5000</v>
      </c>
      <c r="H151" s="187"/>
      <c r="I151" s="528" t="s">
        <v>112</v>
      </c>
      <c r="J151" s="503"/>
      <c r="K151" s="190">
        <f>G151</f>
        <v>5000</v>
      </c>
      <c r="L151" s="196"/>
      <c r="M151" s="158"/>
      <c r="N151" s="175"/>
      <c r="O151" s="176" t="s">
        <v>113</v>
      </c>
      <c r="P151" s="176">
        <v>30</v>
      </c>
      <c r="Q151" s="176">
        <v>1</v>
      </c>
      <c r="R151" s="176">
        <f t="shared" si="44"/>
        <v>4</v>
      </c>
      <c r="S151" s="156"/>
      <c r="T151" s="176" t="s">
        <v>113</v>
      </c>
      <c r="U151" s="182">
        <f>Y150</f>
        <v>35867</v>
      </c>
      <c r="V151" s="178"/>
      <c r="W151" s="182">
        <f t="shared" si="46"/>
        <v>35867</v>
      </c>
      <c r="X151" s="178">
        <v>5000</v>
      </c>
      <c r="Y151" s="182">
        <f t="shared" si="47"/>
        <v>30867</v>
      </c>
      <c r="Z151" s="183"/>
      <c r="AA151" s="158"/>
      <c r="AB151" s="158"/>
      <c r="AC151" s="158"/>
    </row>
    <row r="152" spans="1:29" ht="18" customHeight="1" x14ac:dyDescent="0.2">
      <c r="A152" s="163"/>
      <c r="B152" s="204" t="s">
        <v>114</v>
      </c>
      <c r="C152" s="195">
        <f>IF($J$1="January",R144,IF($J$1="February",R145,IF($J$1="March",R146,IF($J$1="April",R147,IF($J$1="May",R148,IF($J$1="June",R149,IF($J$1="July",R150,IF($J$1="August",R151,IF($J$1="August",R151,IF($J$1="September",R152,IF($J$1="October",R153,IF($J$1="November",R154,IF($J$1="December",R155)))))))))))))</f>
        <v>4</v>
      </c>
      <c r="D152" s="149"/>
      <c r="E152" s="149"/>
      <c r="F152" s="204" t="s">
        <v>115</v>
      </c>
      <c r="G152" s="190">
        <f>IF($J$1="January",Y144,IF($J$1="February",Y145,IF($J$1="March",Y146,IF($J$1="April",Y147,IF($J$1="May",Y148,IF($J$1="June",Y149,IF($J$1="July",Y150,IF($J$1="August",Y151,IF($J$1="August",Y151,IF($J$1="September",Y152,IF($J$1="October",Y153,IF($J$1="November",Y154,IF($J$1="December",Y155)))))))))))))</f>
        <v>30867</v>
      </c>
      <c r="H152" s="149"/>
      <c r="I152" s="529" t="s">
        <v>13</v>
      </c>
      <c r="J152" s="503"/>
      <c r="K152" s="37">
        <f>K150-K151</f>
        <v>47500</v>
      </c>
      <c r="L152" s="180"/>
      <c r="M152" s="158"/>
      <c r="N152" s="175"/>
      <c r="O152" s="176" t="s">
        <v>116</v>
      </c>
      <c r="P152" s="176">
        <v>30</v>
      </c>
      <c r="Q152" s="176">
        <v>0</v>
      </c>
      <c r="R152" s="176">
        <f t="shared" si="44"/>
        <v>4</v>
      </c>
      <c r="S152" s="156"/>
      <c r="T152" s="176" t="s">
        <v>116</v>
      </c>
      <c r="U152" s="182">
        <f>Y151</f>
        <v>30867</v>
      </c>
      <c r="V152" s="178">
        <f>2000+3000</f>
        <v>5000</v>
      </c>
      <c r="W152" s="182">
        <f t="shared" si="46"/>
        <v>35867</v>
      </c>
      <c r="X152" s="178">
        <v>5000</v>
      </c>
      <c r="Y152" s="182">
        <f t="shared" si="47"/>
        <v>30867</v>
      </c>
      <c r="Z152" s="183"/>
      <c r="AA152" s="158"/>
      <c r="AB152" s="158"/>
      <c r="AC152" s="158"/>
    </row>
    <row r="153" spans="1:29" ht="18" customHeight="1" x14ac:dyDescent="0.2">
      <c r="A153" s="163"/>
      <c r="B153" s="149"/>
      <c r="C153" s="149"/>
      <c r="D153" s="149"/>
      <c r="E153" s="149"/>
      <c r="F153" s="149"/>
      <c r="G153" s="149"/>
      <c r="H153" s="149"/>
      <c r="I153" s="530"/>
      <c r="J153" s="531"/>
      <c r="K153" s="151"/>
      <c r="L153" s="186"/>
      <c r="M153" s="158"/>
      <c r="N153" s="175"/>
      <c r="O153" s="176" t="s">
        <v>117</v>
      </c>
      <c r="P153" s="176"/>
      <c r="Q153" s="176"/>
      <c r="R153" s="176" t="str">
        <f t="shared" si="44"/>
        <v/>
      </c>
      <c r="S153" s="156"/>
      <c r="T153" s="176" t="s">
        <v>117</v>
      </c>
      <c r="U153" s="182"/>
      <c r="V153" s="178"/>
      <c r="W153" s="182" t="str">
        <f t="shared" si="46"/>
        <v/>
      </c>
      <c r="X153" s="178"/>
      <c r="Y153" s="182" t="str">
        <f t="shared" si="47"/>
        <v/>
      </c>
      <c r="Z153" s="183"/>
      <c r="AA153" s="158"/>
      <c r="AB153" s="158"/>
      <c r="AC153" s="158"/>
    </row>
    <row r="154" spans="1:29" ht="18" customHeight="1" x14ac:dyDescent="0.3">
      <c r="A154" s="163"/>
      <c r="B154" s="147"/>
      <c r="C154" s="147"/>
      <c r="D154" s="147"/>
      <c r="E154" s="147"/>
      <c r="F154" s="147"/>
      <c r="G154" s="147"/>
      <c r="H154" s="147"/>
      <c r="I154" s="530"/>
      <c r="J154" s="531"/>
      <c r="K154" s="151"/>
      <c r="L154" s="186"/>
      <c r="M154" s="158"/>
      <c r="N154" s="175"/>
      <c r="O154" s="176" t="s">
        <v>118</v>
      </c>
      <c r="P154" s="176"/>
      <c r="Q154" s="176"/>
      <c r="R154" s="176" t="str">
        <f t="shared" si="44"/>
        <v/>
      </c>
      <c r="S154" s="156"/>
      <c r="T154" s="176" t="s">
        <v>118</v>
      </c>
      <c r="U154" s="182"/>
      <c r="V154" s="178"/>
      <c r="W154" s="182" t="str">
        <f t="shared" si="46"/>
        <v/>
      </c>
      <c r="X154" s="178"/>
      <c r="Y154" s="182" t="str">
        <f t="shared" si="47"/>
        <v/>
      </c>
      <c r="Z154" s="183"/>
      <c r="AA154" s="158"/>
      <c r="AB154" s="158"/>
      <c r="AC154" s="158"/>
    </row>
    <row r="155" spans="1:29" ht="18" customHeight="1" thickBot="1" x14ac:dyDescent="0.35">
      <c r="A155" s="197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9"/>
      <c r="M155" s="158"/>
      <c r="N155" s="175"/>
      <c r="O155" s="176" t="s">
        <v>119</v>
      </c>
      <c r="P155" s="176"/>
      <c r="Q155" s="176"/>
      <c r="R155" s="176" t="str">
        <f t="shared" si="44"/>
        <v/>
      </c>
      <c r="S155" s="156"/>
      <c r="T155" s="176" t="s">
        <v>119</v>
      </c>
      <c r="U155" s="182"/>
      <c r="V155" s="178"/>
      <c r="W155" s="182" t="str">
        <f t="shared" si="46"/>
        <v/>
      </c>
      <c r="X155" s="178"/>
      <c r="Y155" s="182" t="str">
        <f t="shared" si="47"/>
        <v/>
      </c>
      <c r="Z155" s="183"/>
      <c r="AA155" s="158"/>
      <c r="AB155" s="158"/>
      <c r="AC155" s="158"/>
    </row>
    <row r="156" spans="1:29" ht="18" customHeight="1" thickBot="1" x14ac:dyDescent="0.25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1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1"/>
      <c r="AB156" s="201"/>
      <c r="AC156" s="201"/>
    </row>
    <row r="157" spans="1:29" ht="18" customHeight="1" thickBot="1" x14ac:dyDescent="0.25">
      <c r="A157" s="532" t="s">
        <v>87</v>
      </c>
      <c r="B157" s="533"/>
      <c r="C157" s="533"/>
      <c r="D157" s="533"/>
      <c r="E157" s="533"/>
      <c r="F157" s="533"/>
      <c r="G157" s="533"/>
      <c r="H157" s="533"/>
      <c r="I157" s="533"/>
      <c r="J157" s="533"/>
      <c r="K157" s="533"/>
      <c r="L157" s="534"/>
      <c r="M157" s="159"/>
      <c r="N157" s="160"/>
      <c r="O157" s="524" t="s">
        <v>88</v>
      </c>
      <c r="P157" s="525"/>
      <c r="Q157" s="525"/>
      <c r="R157" s="526"/>
      <c r="S157" s="161"/>
      <c r="T157" s="524" t="s">
        <v>89</v>
      </c>
      <c r="U157" s="525"/>
      <c r="V157" s="525"/>
      <c r="W157" s="525"/>
      <c r="X157" s="525"/>
      <c r="Y157" s="526"/>
      <c r="Z157" s="162"/>
      <c r="AA157" s="159"/>
      <c r="AB157" s="158"/>
      <c r="AC157" s="158"/>
    </row>
    <row r="158" spans="1:29" ht="18" customHeight="1" x14ac:dyDescent="0.2">
      <c r="A158" s="163"/>
      <c r="B158" s="149"/>
      <c r="C158" s="535" t="s">
        <v>139</v>
      </c>
      <c r="D158" s="531"/>
      <c r="E158" s="531"/>
      <c r="F158" s="531"/>
      <c r="G158" s="164" t="str">
        <f>$J$1</f>
        <v>September</v>
      </c>
      <c r="H158" s="536">
        <f>$K$1</f>
        <v>2024</v>
      </c>
      <c r="I158" s="531"/>
      <c r="J158" s="149"/>
      <c r="K158" s="165"/>
      <c r="L158" s="166"/>
      <c r="M158" s="167"/>
      <c r="N158" s="168"/>
      <c r="O158" s="169" t="s">
        <v>91</v>
      </c>
      <c r="P158" s="169" t="s">
        <v>92</v>
      </c>
      <c r="Q158" s="169" t="s">
        <v>93</v>
      </c>
      <c r="R158" s="169" t="s">
        <v>94</v>
      </c>
      <c r="S158" s="170"/>
      <c r="T158" s="169" t="s">
        <v>91</v>
      </c>
      <c r="U158" s="169" t="s">
        <v>95</v>
      </c>
      <c r="V158" s="169" t="s">
        <v>9</v>
      </c>
      <c r="W158" s="169" t="s">
        <v>10</v>
      </c>
      <c r="X158" s="169" t="s">
        <v>11</v>
      </c>
      <c r="Y158" s="169" t="s">
        <v>96</v>
      </c>
      <c r="Z158" s="171"/>
      <c r="AA158" s="167"/>
      <c r="AB158" s="158"/>
      <c r="AC158" s="158"/>
    </row>
    <row r="159" spans="1:29" ht="18" customHeight="1" x14ac:dyDescent="0.2">
      <c r="A159" s="163"/>
      <c r="B159" s="149"/>
      <c r="C159" s="149"/>
      <c r="D159" s="172"/>
      <c r="E159" s="172"/>
      <c r="F159" s="172"/>
      <c r="G159" s="172"/>
      <c r="H159" s="172"/>
      <c r="I159" s="149"/>
      <c r="J159" s="173" t="s">
        <v>97</v>
      </c>
      <c r="K159" s="151">
        <f>60000+10000</f>
        <v>70000</v>
      </c>
      <c r="L159" s="174"/>
      <c r="M159" s="158"/>
      <c r="N159" s="175"/>
      <c r="O159" s="176" t="s">
        <v>98</v>
      </c>
      <c r="P159" s="176">
        <v>27</v>
      </c>
      <c r="Q159" s="176">
        <v>4</v>
      </c>
      <c r="R159" s="176">
        <f>29-Q159</f>
        <v>25</v>
      </c>
      <c r="S159" s="177"/>
      <c r="T159" s="176" t="s">
        <v>98</v>
      </c>
      <c r="U159" s="178">
        <v>48200</v>
      </c>
      <c r="V159" s="178"/>
      <c r="W159" s="178">
        <f>V159+U159</f>
        <v>48200</v>
      </c>
      <c r="X159" s="178">
        <v>5000</v>
      </c>
      <c r="Y159" s="178">
        <f>W159-X159</f>
        <v>43200</v>
      </c>
      <c r="Z159" s="171"/>
      <c r="AA159" s="158"/>
      <c r="AB159" s="158"/>
      <c r="AC159" s="158"/>
    </row>
    <row r="160" spans="1:29" ht="18" customHeight="1" x14ac:dyDescent="0.2">
      <c r="A160" s="163"/>
      <c r="B160" s="149" t="s">
        <v>99</v>
      </c>
      <c r="C160" s="148" t="s">
        <v>140</v>
      </c>
      <c r="D160" s="149"/>
      <c r="E160" s="149"/>
      <c r="F160" s="149"/>
      <c r="G160" s="149"/>
      <c r="H160" s="179"/>
      <c r="I160" s="172"/>
      <c r="J160" s="149"/>
      <c r="K160" s="149"/>
      <c r="L160" s="180"/>
      <c r="M160" s="159"/>
      <c r="N160" s="181"/>
      <c r="O160" s="176" t="s">
        <v>100</v>
      </c>
      <c r="P160" s="176">
        <v>27</v>
      </c>
      <c r="Q160" s="176">
        <v>2</v>
      </c>
      <c r="R160" s="176">
        <f t="shared" ref="R160:R170" si="49">IF(Q160="","",R159-Q160)</f>
        <v>23</v>
      </c>
      <c r="S160" s="156"/>
      <c r="T160" s="176" t="s">
        <v>100</v>
      </c>
      <c r="U160" s="182">
        <f t="shared" ref="U160:U161" si="50">Y159</f>
        <v>43200</v>
      </c>
      <c r="V160" s="178"/>
      <c r="W160" s="182">
        <f t="shared" ref="W160:W170" si="51">IF(U160="","",U160+V160)</f>
        <v>43200</v>
      </c>
      <c r="X160" s="178">
        <v>5000</v>
      </c>
      <c r="Y160" s="182">
        <f t="shared" ref="Y160:Y170" si="52">IF(W160="","",W160-X160)</f>
        <v>38200</v>
      </c>
      <c r="Z160" s="183"/>
      <c r="AA160" s="159"/>
      <c r="AB160" s="158"/>
      <c r="AC160" s="158"/>
    </row>
    <row r="161" spans="1:29" ht="18" customHeight="1" x14ac:dyDescent="0.2">
      <c r="A161" s="163"/>
      <c r="B161" s="184" t="s">
        <v>101</v>
      </c>
      <c r="C161" s="185"/>
      <c r="D161" s="149"/>
      <c r="E161" s="149"/>
      <c r="F161" s="529" t="s">
        <v>89</v>
      </c>
      <c r="G161" s="503"/>
      <c r="H161" s="149"/>
      <c r="I161" s="529" t="s">
        <v>102</v>
      </c>
      <c r="J161" s="502"/>
      <c r="K161" s="503"/>
      <c r="L161" s="186"/>
      <c r="M161" s="158"/>
      <c r="N161" s="175"/>
      <c r="O161" s="176" t="s">
        <v>103</v>
      </c>
      <c r="P161" s="176">
        <v>31</v>
      </c>
      <c r="Q161" s="176">
        <v>0</v>
      </c>
      <c r="R161" s="176">
        <f t="shared" si="49"/>
        <v>23</v>
      </c>
      <c r="S161" s="156"/>
      <c r="T161" s="176" t="s">
        <v>103</v>
      </c>
      <c r="U161" s="182">
        <f t="shared" si="50"/>
        <v>38200</v>
      </c>
      <c r="V161" s="178"/>
      <c r="W161" s="182">
        <f t="shared" si="51"/>
        <v>38200</v>
      </c>
      <c r="X161" s="178">
        <v>5000</v>
      </c>
      <c r="Y161" s="182">
        <f t="shared" si="52"/>
        <v>33200</v>
      </c>
      <c r="Z161" s="183"/>
      <c r="AA161" s="158"/>
      <c r="AB161" s="158"/>
      <c r="AC161" s="158"/>
    </row>
    <row r="162" spans="1:29" ht="18" customHeight="1" x14ac:dyDescent="0.2">
      <c r="A162" s="163"/>
      <c r="B162" s="149"/>
      <c r="C162" s="149"/>
      <c r="D162" s="149"/>
      <c r="E162" s="149"/>
      <c r="F162" s="149"/>
      <c r="G162" s="149"/>
      <c r="H162" s="187"/>
      <c r="I162" s="149"/>
      <c r="J162" s="149"/>
      <c r="K162" s="149"/>
      <c r="L162" s="188"/>
      <c r="M162" s="158"/>
      <c r="N162" s="175"/>
      <c r="O162" s="176" t="s">
        <v>104</v>
      </c>
      <c r="P162" s="176">
        <v>30</v>
      </c>
      <c r="Q162" s="176">
        <v>0</v>
      </c>
      <c r="R162" s="176">
        <f t="shared" si="49"/>
        <v>23</v>
      </c>
      <c r="S162" s="156"/>
      <c r="T162" s="176" t="s">
        <v>104</v>
      </c>
      <c r="U162" s="182">
        <f>IF($J$1="March","",Y161)</f>
        <v>33200</v>
      </c>
      <c r="V162" s="178"/>
      <c r="W162" s="182">
        <f t="shared" si="51"/>
        <v>33200</v>
      </c>
      <c r="X162" s="178">
        <v>5000</v>
      </c>
      <c r="Y162" s="182">
        <f t="shared" si="52"/>
        <v>28200</v>
      </c>
      <c r="Z162" s="183"/>
      <c r="AA162" s="158"/>
      <c r="AB162" s="158"/>
      <c r="AC162" s="158"/>
    </row>
    <row r="163" spans="1:29" ht="18" customHeight="1" x14ac:dyDescent="0.2">
      <c r="A163" s="163"/>
      <c r="B163" s="527" t="s">
        <v>88</v>
      </c>
      <c r="C163" s="503"/>
      <c r="D163" s="149"/>
      <c r="E163" s="149"/>
      <c r="F163" s="189" t="s">
        <v>105</v>
      </c>
      <c r="G163" s="190">
        <f>IF($J$1="January",U159,IF($J$1="February",U160,IF($J$1="March",U161,IF($J$1="April",U162,IF($J$1="May",U163,IF($J$1="June",U164,IF($J$1="July",U165,IF($J$1="August",U166,IF($J$1="August",U166,IF($J$1="September",U167,IF($J$1="October",U168,IF($J$1="November",U169,IF($J$1="December",U170)))))))))))))</f>
        <v>8200</v>
      </c>
      <c r="H163" s="187"/>
      <c r="I163" s="191">
        <f>IF(C167&gt;=C166,$K$2,C165+C167)</f>
        <v>30</v>
      </c>
      <c r="J163" s="192" t="s">
        <v>106</v>
      </c>
      <c r="K163" s="193">
        <f>K159/$K$2*I163</f>
        <v>70000</v>
      </c>
      <c r="L163" s="194"/>
      <c r="M163" s="158"/>
      <c r="N163" s="175"/>
      <c r="O163" s="176" t="s">
        <v>107</v>
      </c>
      <c r="P163" s="176">
        <v>26</v>
      </c>
      <c r="Q163" s="176">
        <v>5</v>
      </c>
      <c r="R163" s="176">
        <f t="shared" si="49"/>
        <v>18</v>
      </c>
      <c r="S163" s="156"/>
      <c r="T163" s="176" t="s">
        <v>107</v>
      </c>
      <c r="U163" s="182">
        <f t="shared" ref="U163:U164" si="53">Y162</f>
        <v>28200</v>
      </c>
      <c r="V163" s="178"/>
      <c r="W163" s="182">
        <f t="shared" si="51"/>
        <v>28200</v>
      </c>
      <c r="X163" s="178">
        <v>5000</v>
      </c>
      <c r="Y163" s="182">
        <f t="shared" si="52"/>
        <v>23200</v>
      </c>
      <c r="Z163" s="183"/>
      <c r="AA163" s="158"/>
      <c r="AB163" s="158"/>
      <c r="AC163" s="158"/>
    </row>
    <row r="164" spans="1:29" ht="18" customHeight="1" x14ac:dyDescent="0.2">
      <c r="A164" s="163"/>
      <c r="B164" s="195"/>
      <c r="C164" s="195"/>
      <c r="D164" s="149"/>
      <c r="E164" s="149"/>
      <c r="F164" s="189" t="s">
        <v>9</v>
      </c>
      <c r="G164" s="190">
        <f>IF($J$1="January",V159,IF($J$1="February",V160,IF($J$1="March",V161,IF($J$1="April",V162,IF($J$1="May",V163,IF($J$1="June",V164,IF($J$1="July",V165,IF($J$1="August",V166,IF($J$1="August",V166,IF($J$1="September",V167,IF($J$1="October",V168,IF($J$1="November",V169,IF($J$1="December",V170)))))))))))))</f>
        <v>0</v>
      </c>
      <c r="H164" s="187"/>
      <c r="I164" s="191">
        <v>54</v>
      </c>
      <c r="J164" s="192" t="s">
        <v>108</v>
      </c>
      <c r="K164" s="190">
        <f>K159/$K$2/8*I164</f>
        <v>15750.000000000002</v>
      </c>
      <c r="L164" s="196"/>
      <c r="M164" s="158"/>
      <c r="N164" s="175"/>
      <c r="O164" s="176" t="s">
        <v>84</v>
      </c>
      <c r="P164" s="176">
        <v>29</v>
      </c>
      <c r="Q164" s="176">
        <v>1</v>
      </c>
      <c r="R164" s="176">
        <f t="shared" si="49"/>
        <v>17</v>
      </c>
      <c r="S164" s="156"/>
      <c r="T164" s="176" t="s">
        <v>84</v>
      </c>
      <c r="U164" s="182">
        <f t="shared" si="53"/>
        <v>23200</v>
      </c>
      <c r="V164" s="178"/>
      <c r="W164" s="182">
        <f t="shared" si="51"/>
        <v>23200</v>
      </c>
      <c r="X164" s="178">
        <v>5000</v>
      </c>
      <c r="Y164" s="182">
        <f t="shared" si="52"/>
        <v>18200</v>
      </c>
      <c r="Z164" s="183"/>
      <c r="AA164" s="158"/>
      <c r="AB164" s="158"/>
      <c r="AC164" s="158"/>
    </row>
    <row r="165" spans="1:29" ht="18" customHeight="1" x14ac:dyDescent="0.2">
      <c r="A165" s="163"/>
      <c r="B165" s="189" t="s">
        <v>92</v>
      </c>
      <c r="C165" s="195">
        <f>IF($J$1="January",P159,IF($J$1="February",P160,IF($J$1="March",P161,IF($J$1="April",P162,IF($J$1="May",P163,IF($J$1="June",P164,IF($J$1="July",P165,IF($J$1="August",P166,IF($J$1="August",P166,IF($J$1="September",P167,IF($J$1="October",P168,IF($J$1="November",P169,IF($J$1="December",P170)))))))))))))</f>
        <v>29</v>
      </c>
      <c r="D165" s="149"/>
      <c r="E165" s="149"/>
      <c r="F165" s="189" t="s">
        <v>109</v>
      </c>
      <c r="G165" s="190">
        <f>IF($J$1="January",W159,IF($J$1="February",W160,IF($J$1="March",W161,IF($J$1="April",W162,IF($J$1="May",W163,IF($J$1="June",W164,IF($J$1="July",W165,IF($J$1="August",W166,IF($J$1="August",W166,IF($J$1="September",W167,IF($J$1="October",W168,IF($J$1="November",W169,IF($J$1="December",W170)))))))))))))</f>
        <v>8200</v>
      </c>
      <c r="H165" s="187"/>
      <c r="I165" s="528" t="s">
        <v>110</v>
      </c>
      <c r="J165" s="503"/>
      <c r="K165" s="190">
        <f>K163+K164</f>
        <v>85750</v>
      </c>
      <c r="L165" s="196"/>
      <c r="M165" s="158"/>
      <c r="N165" s="175"/>
      <c r="O165" s="176" t="s">
        <v>111</v>
      </c>
      <c r="P165" s="176">
        <v>30</v>
      </c>
      <c r="Q165" s="176">
        <v>1</v>
      </c>
      <c r="R165" s="176">
        <f t="shared" si="49"/>
        <v>16</v>
      </c>
      <c r="S165" s="156"/>
      <c r="T165" s="176" t="s">
        <v>111</v>
      </c>
      <c r="U165" s="182">
        <f>Y164</f>
        <v>18200</v>
      </c>
      <c r="V165" s="178"/>
      <c r="W165" s="182">
        <f t="shared" si="51"/>
        <v>18200</v>
      </c>
      <c r="X165" s="178">
        <v>5000</v>
      </c>
      <c r="Y165" s="182">
        <f t="shared" si="52"/>
        <v>13200</v>
      </c>
      <c r="Z165" s="183"/>
      <c r="AA165" s="158"/>
      <c r="AB165" s="158"/>
      <c r="AC165" s="158"/>
    </row>
    <row r="166" spans="1:29" ht="18" customHeight="1" x14ac:dyDescent="0.2">
      <c r="A166" s="163"/>
      <c r="B166" s="189" t="s">
        <v>93</v>
      </c>
      <c r="C166" s="195">
        <f>IF($J$1="January",Q159,IF($J$1="February",Q160,IF($J$1="March",Q161,IF($J$1="April",Q162,IF($J$1="May",Q163,IF($J$1="June",Q164,IF($J$1="July",Q165,IF($J$1="August",Q166,IF($J$1="August",Q166,IF($J$1="September",Q167,IF($J$1="October",Q168,IF($J$1="November",Q169,IF($J$1="December",Q170)))))))))))))</f>
        <v>1</v>
      </c>
      <c r="D166" s="149"/>
      <c r="E166" s="149"/>
      <c r="F166" s="189" t="s">
        <v>11</v>
      </c>
      <c r="G166" s="190">
        <f>IF($J$1="January",X159,IF($J$1="February",X160,IF($J$1="March",X161,IF($J$1="April",X162,IF($J$1="May",X163,IF($J$1="June",X164,IF($J$1="July",X165,IF($J$1="August",X166,IF($J$1="August",X166,IF($J$1="September",X167,IF($J$1="October",X168,IF($J$1="November",X169,IF($J$1="December",X170)))))))))))))</f>
        <v>5000</v>
      </c>
      <c r="H166" s="187"/>
      <c r="I166" s="528" t="s">
        <v>112</v>
      </c>
      <c r="J166" s="503"/>
      <c r="K166" s="190">
        <f>G166</f>
        <v>5000</v>
      </c>
      <c r="L166" s="196"/>
      <c r="M166" s="158"/>
      <c r="N166" s="175"/>
      <c r="O166" s="176" t="s">
        <v>113</v>
      </c>
      <c r="P166" s="176">
        <v>29</v>
      </c>
      <c r="Q166" s="176">
        <v>2</v>
      </c>
      <c r="R166" s="176">
        <f t="shared" si="49"/>
        <v>14</v>
      </c>
      <c r="S166" s="156"/>
      <c r="T166" s="176" t="s">
        <v>113</v>
      </c>
      <c r="U166" s="182">
        <f>Y165</f>
        <v>13200</v>
      </c>
      <c r="V166" s="178"/>
      <c r="W166" s="182">
        <f t="shared" si="51"/>
        <v>13200</v>
      </c>
      <c r="X166" s="178">
        <v>5000</v>
      </c>
      <c r="Y166" s="182">
        <f t="shared" si="52"/>
        <v>8200</v>
      </c>
      <c r="Z166" s="183"/>
      <c r="AA166" s="158"/>
      <c r="AB166" s="158"/>
      <c r="AC166" s="158"/>
    </row>
    <row r="167" spans="1:29" ht="18" customHeight="1" x14ac:dyDescent="0.2">
      <c r="A167" s="163"/>
      <c r="B167" s="204" t="s">
        <v>114</v>
      </c>
      <c r="C167" s="195">
        <f>IF($J$1="January",R159,IF($J$1="February",R160,IF($J$1="March",R161,IF($J$1="April",R162,IF($J$1="May",R163,IF($J$1="June",R164,IF($J$1="July",R165,IF($J$1="August",R166,IF($J$1="August",R166,IF($J$1="September",R167,IF($J$1="October",R168,IF($J$1="November",R169,IF($J$1="December",R170)))))))))))))</f>
        <v>13</v>
      </c>
      <c r="D167" s="149"/>
      <c r="E167" s="149"/>
      <c r="F167" s="204" t="s">
        <v>115</v>
      </c>
      <c r="G167" s="190">
        <f>IF($J$1="January",Y159,IF($J$1="February",Y160,IF($J$1="March",Y161,IF($J$1="April",Y162,IF($J$1="May",Y163,IF($J$1="June",Y164,IF($J$1="July",Y165,IF($J$1="August",Y166,IF($J$1="August",Y166,IF($J$1="September",Y167,IF($J$1="October",Y168,IF($J$1="November",Y169,IF($J$1="December",Y170)))))))))))))</f>
        <v>3200</v>
      </c>
      <c r="H167" s="149"/>
      <c r="I167" s="529" t="s">
        <v>13</v>
      </c>
      <c r="J167" s="503"/>
      <c r="K167" s="37">
        <f>K165-K166</f>
        <v>80750</v>
      </c>
      <c r="L167" s="180"/>
      <c r="M167" s="158"/>
      <c r="N167" s="175"/>
      <c r="O167" s="176" t="s">
        <v>116</v>
      </c>
      <c r="P167" s="176">
        <v>29</v>
      </c>
      <c r="Q167" s="176">
        <v>1</v>
      </c>
      <c r="R167" s="176">
        <f t="shared" si="49"/>
        <v>13</v>
      </c>
      <c r="S167" s="156"/>
      <c r="T167" s="176" t="s">
        <v>116</v>
      </c>
      <c r="U167" s="182">
        <f>Y166</f>
        <v>8200</v>
      </c>
      <c r="V167" s="178"/>
      <c r="W167" s="182">
        <f t="shared" si="51"/>
        <v>8200</v>
      </c>
      <c r="X167" s="178">
        <v>5000</v>
      </c>
      <c r="Y167" s="182">
        <f t="shared" si="52"/>
        <v>3200</v>
      </c>
      <c r="Z167" s="183"/>
      <c r="AA167" s="158"/>
      <c r="AB167" s="158"/>
      <c r="AC167" s="158"/>
    </row>
    <row r="168" spans="1:29" ht="18" customHeight="1" x14ac:dyDescent="0.2">
      <c r="A168" s="163"/>
      <c r="B168" s="149"/>
      <c r="C168" s="149"/>
      <c r="D168" s="149"/>
      <c r="E168" s="149"/>
      <c r="F168" s="149"/>
      <c r="G168" s="149"/>
      <c r="H168" s="149"/>
      <c r="I168" s="530"/>
      <c r="J168" s="531"/>
      <c r="K168" s="151"/>
      <c r="L168" s="186"/>
      <c r="M168" s="158"/>
      <c r="N168" s="175"/>
      <c r="O168" s="176" t="s">
        <v>117</v>
      </c>
      <c r="P168" s="176"/>
      <c r="Q168" s="176"/>
      <c r="R168" s="176" t="str">
        <f t="shared" si="49"/>
        <v/>
      </c>
      <c r="S168" s="156"/>
      <c r="T168" s="176" t="s">
        <v>117</v>
      </c>
      <c r="U168" s="182"/>
      <c r="V168" s="178"/>
      <c r="W168" s="182" t="str">
        <f t="shared" si="51"/>
        <v/>
      </c>
      <c r="X168" s="178"/>
      <c r="Y168" s="182" t="str">
        <f t="shared" si="52"/>
        <v/>
      </c>
      <c r="Z168" s="183"/>
      <c r="AA168" s="158"/>
      <c r="AB168" s="158"/>
      <c r="AC168" s="158"/>
    </row>
    <row r="169" spans="1:29" ht="18" customHeight="1" x14ac:dyDescent="0.3">
      <c r="A169" s="163"/>
      <c r="B169" s="147"/>
      <c r="C169" s="147"/>
      <c r="D169" s="147"/>
      <c r="E169" s="147"/>
      <c r="F169" s="147"/>
      <c r="G169" s="147"/>
      <c r="H169" s="147"/>
      <c r="I169" s="530"/>
      <c r="J169" s="531"/>
      <c r="K169" s="151"/>
      <c r="L169" s="186"/>
      <c r="M169" s="158"/>
      <c r="N169" s="175"/>
      <c r="O169" s="176" t="s">
        <v>118</v>
      </c>
      <c r="P169" s="176"/>
      <c r="Q169" s="176"/>
      <c r="R169" s="176" t="str">
        <f t="shared" si="49"/>
        <v/>
      </c>
      <c r="S169" s="156"/>
      <c r="T169" s="176" t="s">
        <v>118</v>
      </c>
      <c r="U169" s="182"/>
      <c r="V169" s="178"/>
      <c r="W169" s="182" t="str">
        <f t="shared" si="51"/>
        <v/>
      </c>
      <c r="X169" s="178"/>
      <c r="Y169" s="182" t="str">
        <f t="shared" si="52"/>
        <v/>
      </c>
      <c r="Z169" s="183"/>
      <c r="AA169" s="158"/>
      <c r="AB169" s="158"/>
      <c r="AC169" s="158"/>
    </row>
    <row r="170" spans="1:29" ht="18" customHeight="1" thickBot="1" x14ac:dyDescent="0.35">
      <c r="A170" s="197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9"/>
      <c r="M170" s="158"/>
      <c r="N170" s="175"/>
      <c r="O170" s="176" t="s">
        <v>119</v>
      </c>
      <c r="P170" s="176"/>
      <c r="Q170" s="176"/>
      <c r="R170" s="176" t="str">
        <f t="shared" si="49"/>
        <v/>
      </c>
      <c r="S170" s="156"/>
      <c r="T170" s="176" t="s">
        <v>119</v>
      </c>
      <c r="U170" s="182"/>
      <c r="V170" s="178"/>
      <c r="W170" s="182" t="str">
        <f t="shared" si="51"/>
        <v/>
      </c>
      <c r="X170" s="178"/>
      <c r="Y170" s="182" t="str">
        <f t="shared" si="52"/>
        <v/>
      </c>
      <c r="Z170" s="183"/>
      <c r="AA170" s="158"/>
      <c r="AB170" s="158"/>
      <c r="AC170" s="158"/>
    </row>
    <row r="171" spans="1:29" ht="18" customHeight="1" thickBot="1" x14ac:dyDescent="0.25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1"/>
      <c r="N171" s="202"/>
      <c r="O171" s="202"/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1"/>
      <c r="AB171" s="201"/>
      <c r="AC171" s="201"/>
    </row>
    <row r="172" spans="1:29" ht="18" customHeight="1" thickBot="1" x14ac:dyDescent="0.3">
      <c r="A172" s="561" t="s">
        <v>87</v>
      </c>
      <c r="B172" s="533"/>
      <c r="C172" s="533"/>
      <c r="D172" s="533"/>
      <c r="E172" s="533"/>
      <c r="F172" s="533"/>
      <c r="G172" s="533"/>
      <c r="H172" s="533"/>
      <c r="I172" s="533"/>
      <c r="J172" s="533"/>
      <c r="K172" s="533"/>
      <c r="L172" s="534"/>
      <c r="M172" s="159"/>
      <c r="N172" s="160"/>
      <c r="O172" s="524" t="s">
        <v>88</v>
      </c>
      <c r="P172" s="525"/>
      <c r="Q172" s="525"/>
      <c r="R172" s="526"/>
      <c r="S172" s="161"/>
      <c r="T172" s="524" t="s">
        <v>89</v>
      </c>
      <c r="U172" s="525"/>
      <c r="V172" s="525"/>
      <c r="W172" s="525"/>
      <c r="X172" s="525"/>
      <c r="Y172" s="526"/>
      <c r="Z172" s="162"/>
      <c r="AA172" s="159"/>
      <c r="AB172" s="158"/>
      <c r="AC172" s="158"/>
    </row>
    <row r="173" spans="1:29" ht="18" customHeight="1" x14ac:dyDescent="0.3">
      <c r="A173" s="442"/>
      <c r="B173" s="147"/>
      <c r="C173" s="555" t="s">
        <v>141</v>
      </c>
      <c r="D173" s="531"/>
      <c r="E173" s="531"/>
      <c r="F173" s="531"/>
      <c r="G173" s="443" t="str">
        <f>$J$1</f>
        <v>September</v>
      </c>
      <c r="H173" s="556">
        <f>$K$1</f>
        <v>2024</v>
      </c>
      <c r="I173" s="531"/>
      <c r="J173" s="147"/>
      <c r="K173" s="444"/>
      <c r="L173" s="445"/>
      <c r="M173" s="167"/>
      <c r="N173" s="168"/>
      <c r="O173" s="169" t="s">
        <v>91</v>
      </c>
      <c r="P173" s="169" t="s">
        <v>92</v>
      </c>
      <c r="Q173" s="169" t="s">
        <v>93</v>
      </c>
      <c r="R173" s="169" t="s">
        <v>94</v>
      </c>
      <c r="S173" s="170"/>
      <c r="T173" s="169" t="s">
        <v>91</v>
      </c>
      <c r="U173" s="169" t="s">
        <v>95</v>
      </c>
      <c r="V173" s="169" t="s">
        <v>9</v>
      </c>
      <c r="W173" s="169" t="s">
        <v>10</v>
      </c>
      <c r="X173" s="169" t="s">
        <v>11</v>
      </c>
      <c r="Y173" s="169" t="s">
        <v>96</v>
      </c>
      <c r="Z173" s="171"/>
      <c r="AA173" s="167"/>
      <c r="AB173" s="158"/>
      <c r="AC173" s="158"/>
    </row>
    <row r="174" spans="1:29" ht="18" customHeight="1" x14ac:dyDescent="0.3">
      <c r="A174" s="442"/>
      <c r="B174" s="147"/>
      <c r="C174" s="147"/>
      <c r="D174" s="446"/>
      <c r="E174" s="446"/>
      <c r="F174" s="446"/>
      <c r="G174" s="446"/>
      <c r="H174" s="446"/>
      <c r="I174" s="147"/>
      <c r="J174" s="225" t="s">
        <v>97</v>
      </c>
      <c r="K174" s="447">
        <f>45000+2000+3000+5000</f>
        <v>55000</v>
      </c>
      <c r="L174" s="448"/>
      <c r="M174" s="158"/>
      <c r="N174" s="175"/>
      <c r="O174" s="176" t="s">
        <v>98</v>
      </c>
      <c r="P174" s="176">
        <v>31</v>
      </c>
      <c r="Q174" s="176">
        <v>0</v>
      </c>
      <c r="R174" s="176">
        <f>15-Q174</f>
        <v>15</v>
      </c>
      <c r="S174" s="177"/>
      <c r="T174" s="176" t="s">
        <v>98</v>
      </c>
      <c r="U174" s="178">
        <v>72000</v>
      </c>
      <c r="V174" s="178">
        <f>5000+5000+5000</f>
        <v>15000</v>
      </c>
      <c r="W174" s="178">
        <f>V174+U174</f>
        <v>87000</v>
      </c>
      <c r="X174" s="178"/>
      <c r="Y174" s="178">
        <f>W174-X174</f>
        <v>87000</v>
      </c>
      <c r="Z174" s="171"/>
      <c r="AA174" s="158"/>
      <c r="AB174" s="158"/>
      <c r="AC174" s="158"/>
    </row>
    <row r="175" spans="1:29" ht="18" customHeight="1" x14ac:dyDescent="0.3">
      <c r="A175" s="442"/>
      <c r="B175" s="147" t="s">
        <v>99</v>
      </c>
      <c r="C175" s="449" t="s">
        <v>142</v>
      </c>
      <c r="D175" s="147"/>
      <c r="E175" s="147"/>
      <c r="F175" s="147"/>
      <c r="G175" s="147"/>
      <c r="H175" s="450"/>
      <c r="I175" s="446"/>
      <c r="J175" s="147"/>
      <c r="K175" s="147"/>
      <c r="L175" s="451"/>
      <c r="M175" s="159"/>
      <c r="N175" s="181"/>
      <c r="O175" s="176" t="s">
        <v>100</v>
      </c>
      <c r="P175" s="176">
        <v>28</v>
      </c>
      <c r="Q175" s="176">
        <v>1</v>
      </c>
      <c r="R175" s="176">
        <f t="shared" ref="R175:R185" si="54">IF(Q175="","",R174-Q175)</f>
        <v>14</v>
      </c>
      <c r="S175" s="156"/>
      <c r="T175" s="176" t="s">
        <v>100</v>
      </c>
      <c r="U175" s="182">
        <f t="shared" ref="U175:U176" si="55">Y174</f>
        <v>87000</v>
      </c>
      <c r="V175" s="178">
        <v>1000</v>
      </c>
      <c r="W175" s="182">
        <f t="shared" ref="W175:W185" si="56">IF(U175="","",U175+V175)</f>
        <v>88000</v>
      </c>
      <c r="X175" s="178"/>
      <c r="Y175" s="182">
        <f t="shared" ref="Y175:Y185" si="57">IF(W175="","",W175-X175)</f>
        <v>88000</v>
      </c>
      <c r="Z175" s="183"/>
      <c r="AA175" s="159"/>
      <c r="AB175" s="158"/>
      <c r="AC175" s="158"/>
    </row>
    <row r="176" spans="1:29" ht="18" customHeight="1" x14ac:dyDescent="0.3">
      <c r="A176" s="442"/>
      <c r="B176" s="452" t="s">
        <v>101</v>
      </c>
      <c r="C176" s="453"/>
      <c r="D176" s="147"/>
      <c r="E176" s="147"/>
      <c r="F176" s="557" t="s">
        <v>89</v>
      </c>
      <c r="G176" s="503"/>
      <c r="H176" s="147"/>
      <c r="I176" s="557" t="s">
        <v>102</v>
      </c>
      <c r="J176" s="502"/>
      <c r="K176" s="503"/>
      <c r="L176" s="454"/>
      <c r="M176" s="158"/>
      <c r="N176" s="175"/>
      <c r="O176" s="176" t="s">
        <v>103</v>
      </c>
      <c r="P176" s="176">
        <v>29</v>
      </c>
      <c r="Q176" s="176">
        <v>2</v>
      </c>
      <c r="R176" s="176">
        <f t="shared" si="54"/>
        <v>12</v>
      </c>
      <c r="S176" s="156"/>
      <c r="T176" s="176" t="s">
        <v>103</v>
      </c>
      <c r="U176" s="182">
        <f t="shared" si="55"/>
        <v>88000</v>
      </c>
      <c r="V176" s="178">
        <v>2000</v>
      </c>
      <c r="W176" s="182">
        <f t="shared" si="56"/>
        <v>90000</v>
      </c>
      <c r="X176" s="178"/>
      <c r="Y176" s="182">
        <f t="shared" si="57"/>
        <v>90000</v>
      </c>
      <c r="Z176" s="183"/>
      <c r="AA176" s="158"/>
      <c r="AB176" s="158"/>
      <c r="AC176" s="158"/>
    </row>
    <row r="177" spans="1:29" ht="18" customHeight="1" x14ac:dyDescent="0.3">
      <c r="A177" s="442"/>
      <c r="B177" s="147"/>
      <c r="C177" s="147"/>
      <c r="D177" s="147"/>
      <c r="E177" s="147"/>
      <c r="F177" s="147"/>
      <c r="G177" s="147"/>
      <c r="H177" s="455"/>
      <c r="I177" s="147"/>
      <c r="J177" s="147"/>
      <c r="K177" s="147"/>
      <c r="L177" s="456"/>
      <c r="M177" s="158"/>
      <c r="N177" s="175"/>
      <c r="O177" s="176" t="s">
        <v>104</v>
      </c>
      <c r="P177" s="176">
        <v>30</v>
      </c>
      <c r="Q177" s="176">
        <v>0</v>
      </c>
      <c r="R177" s="176">
        <f t="shared" si="54"/>
        <v>12</v>
      </c>
      <c r="S177" s="156"/>
      <c r="T177" s="176" t="s">
        <v>104</v>
      </c>
      <c r="U177" s="182">
        <f t="shared" ref="U177:U178" si="58">IF($J$1="March","",Y176)</f>
        <v>90000</v>
      </c>
      <c r="V177" s="178"/>
      <c r="W177" s="182">
        <f t="shared" si="56"/>
        <v>90000</v>
      </c>
      <c r="X177" s="178"/>
      <c r="Y177" s="182">
        <f t="shared" si="57"/>
        <v>90000</v>
      </c>
      <c r="Z177" s="183"/>
      <c r="AA177" s="158"/>
      <c r="AB177" s="158"/>
      <c r="AC177" s="158"/>
    </row>
    <row r="178" spans="1:29" ht="18" customHeight="1" x14ac:dyDescent="0.3">
      <c r="A178" s="442"/>
      <c r="B178" s="558" t="s">
        <v>88</v>
      </c>
      <c r="C178" s="503"/>
      <c r="D178" s="147"/>
      <c r="E178" s="147"/>
      <c r="F178" s="457" t="s">
        <v>105</v>
      </c>
      <c r="G178" s="458">
        <f>IF($J$1="January",U174,IF($J$1="February",U175,IF($J$1="March",U176,IF($J$1="April",U177,IF($J$1="May",U178,IF($J$1="June",U179,IF($J$1="July",U180,IF($J$1="August",U181,IF($J$1="August",U181,IF($J$1="September",U182,IF($J$1="October",U183,IF($J$1="November",U184,IF($J$1="December",U185)))))))))))))</f>
        <v>98000</v>
      </c>
      <c r="H178" s="455"/>
      <c r="I178" s="459">
        <f>IF(C182&gt;0,$K$2,C180)</f>
        <v>30</v>
      </c>
      <c r="J178" s="460" t="s">
        <v>106</v>
      </c>
      <c r="K178" s="461">
        <f>K174/$K$2*I178</f>
        <v>55000</v>
      </c>
      <c r="L178" s="462"/>
      <c r="M178" s="158"/>
      <c r="N178" s="175"/>
      <c r="O178" s="176" t="s">
        <v>107</v>
      </c>
      <c r="P178" s="176">
        <v>30</v>
      </c>
      <c r="Q178" s="176">
        <v>1</v>
      </c>
      <c r="R178" s="176">
        <f t="shared" si="54"/>
        <v>11</v>
      </c>
      <c r="S178" s="156"/>
      <c r="T178" s="176" t="s">
        <v>107</v>
      </c>
      <c r="U178" s="182">
        <f t="shared" si="58"/>
        <v>90000</v>
      </c>
      <c r="V178" s="178">
        <v>10000</v>
      </c>
      <c r="W178" s="182">
        <f t="shared" si="56"/>
        <v>100000</v>
      </c>
      <c r="X178" s="178">
        <v>5000</v>
      </c>
      <c r="Y178" s="182">
        <f t="shared" si="57"/>
        <v>95000</v>
      </c>
      <c r="Z178" s="183"/>
      <c r="AA178" s="158"/>
      <c r="AB178" s="158"/>
      <c r="AC178" s="158"/>
    </row>
    <row r="179" spans="1:29" ht="18" customHeight="1" x14ac:dyDescent="0.3">
      <c r="A179" s="442"/>
      <c r="B179" s="463"/>
      <c r="C179" s="463"/>
      <c r="D179" s="147"/>
      <c r="E179" s="147"/>
      <c r="F179" s="457" t="s">
        <v>9</v>
      </c>
      <c r="G179" s="458">
        <f>IF($J$1="January",V174,IF($J$1="February",V175,IF($J$1="March",V176,IF($J$1="April",V177,IF($J$1="May",V178,IF($J$1="June",V179,IF($J$1="July",V180,IF($J$1="August",V181,IF($J$1="August",V181,IF($J$1="September",V182,IF($J$1="October",V183,IF($J$1="November",V184,IF($J$1="December",V185)))))))))))))</f>
        <v>0</v>
      </c>
      <c r="H179" s="455"/>
      <c r="I179" s="459">
        <v>4</v>
      </c>
      <c r="J179" s="460" t="s">
        <v>108</v>
      </c>
      <c r="K179" s="458">
        <f>K174/$K$2/8*I179</f>
        <v>916.66666666666663</v>
      </c>
      <c r="L179" s="464"/>
      <c r="M179" s="158"/>
      <c r="N179" s="175"/>
      <c r="O179" s="176" t="s">
        <v>84</v>
      </c>
      <c r="P179" s="176">
        <v>28</v>
      </c>
      <c r="Q179" s="176">
        <v>2</v>
      </c>
      <c r="R179" s="176">
        <f t="shared" si="54"/>
        <v>9</v>
      </c>
      <c r="S179" s="156"/>
      <c r="T179" s="176" t="s">
        <v>84</v>
      </c>
      <c r="U179" s="182">
        <f>Y178</f>
        <v>95000</v>
      </c>
      <c r="V179" s="178"/>
      <c r="W179" s="182">
        <f t="shared" si="56"/>
        <v>95000</v>
      </c>
      <c r="X179" s="178">
        <v>5000</v>
      </c>
      <c r="Y179" s="182">
        <f t="shared" si="57"/>
        <v>90000</v>
      </c>
      <c r="Z179" s="183"/>
      <c r="AA179" s="158"/>
      <c r="AB179" s="158"/>
      <c r="AC179" s="158"/>
    </row>
    <row r="180" spans="1:29" ht="18" customHeight="1" x14ac:dyDescent="0.3">
      <c r="A180" s="442"/>
      <c r="B180" s="457" t="s">
        <v>92</v>
      </c>
      <c r="C180" s="463">
        <f>IF($J$1="January",P174,IF($J$1="February",P175,IF($J$1="March",P176,IF($J$1="April",P177,IF($J$1="May",P178,IF($J$1="June",P179,IF($J$1="July",P180,IF($J$1="August",P181,IF($J$1="August",P181,IF($J$1="September",P182,IF($J$1="October",P183,IF($J$1="November",P184,IF($J$1="December",P185)))))))))))))</f>
        <v>30</v>
      </c>
      <c r="D180" s="147"/>
      <c r="E180" s="147"/>
      <c r="F180" s="457" t="s">
        <v>109</v>
      </c>
      <c r="G180" s="458">
        <f>IF($J$1="January",W174,IF($J$1="February",W175,IF($J$1="March",W176,IF($J$1="April",W177,IF($J$1="May",W178,IF($J$1="June",W179,IF($J$1="July",W180,IF($J$1="August",W181,IF($J$1="August",W181,IF($J$1="September",W182,IF($J$1="October",W183,IF($J$1="November",W184,IF($J$1="December",W185)))))))))))))</f>
        <v>98000</v>
      </c>
      <c r="H180" s="455"/>
      <c r="I180" s="559" t="s">
        <v>110</v>
      </c>
      <c r="J180" s="503"/>
      <c r="K180" s="458">
        <f>K178+K179</f>
        <v>55916.666666666664</v>
      </c>
      <c r="L180" s="464"/>
      <c r="M180" s="158"/>
      <c r="N180" s="175"/>
      <c r="O180" s="176" t="s">
        <v>111</v>
      </c>
      <c r="P180" s="176">
        <v>24</v>
      </c>
      <c r="Q180" s="176">
        <v>7</v>
      </c>
      <c r="R180" s="176">
        <f t="shared" si="54"/>
        <v>2</v>
      </c>
      <c r="S180" s="156"/>
      <c r="T180" s="176" t="s">
        <v>111</v>
      </c>
      <c r="U180" s="182">
        <f>Y179</f>
        <v>90000</v>
      </c>
      <c r="V180" s="178">
        <v>0</v>
      </c>
      <c r="W180" s="182">
        <f t="shared" si="56"/>
        <v>90000</v>
      </c>
      <c r="X180" s="178"/>
      <c r="Y180" s="182">
        <f t="shared" si="57"/>
        <v>90000</v>
      </c>
      <c r="Z180" s="183"/>
      <c r="AA180" s="158"/>
      <c r="AB180" s="158"/>
      <c r="AC180" s="158"/>
    </row>
    <row r="181" spans="1:29" ht="18" customHeight="1" x14ac:dyDescent="0.3">
      <c r="A181" s="442"/>
      <c r="B181" s="457" t="s">
        <v>93</v>
      </c>
      <c r="C181" s="463">
        <f>IF($J$1="January",Q174,IF($J$1="February",Q175,IF($J$1="March",Q176,IF($J$1="April",Q177,IF($J$1="May",Q178,IF($J$1="June",Q179,IF($J$1="July",Q180,IF($J$1="August",Q181,IF($J$1="August",Q181,IF($J$1="September",Q182,IF($J$1="October",Q183,IF($J$1="November",Q184,IF($J$1="December",Q185)))))))))))))</f>
        <v>0</v>
      </c>
      <c r="D181" s="147"/>
      <c r="E181" s="147"/>
      <c r="F181" s="457" t="s">
        <v>11</v>
      </c>
      <c r="G181" s="458">
        <f>IF($J$1="January",X174,IF($J$1="February",X175,IF($J$1="March",X176,IF($J$1="April",X177,IF($J$1="May",X178,IF($J$1="June",X179,IF($J$1="July",X180,IF($J$1="August",X181,IF($J$1="August",X181,IF($J$1="September",X182,IF($J$1="October",X183,IF($J$1="November",X184,IF($J$1="December",X185)))))))))))))</f>
        <v>5000</v>
      </c>
      <c r="H181" s="455"/>
      <c r="I181" s="559" t="s">
        <v>112</v>
      </c>
      <c r="J181" s="503"/>
      <c r="K181" s="458">
        <f>G181</f>
        <v>5000</v>
      </c>
      <c r="L181" s="464"/>
      <c r="M181" s="158"/>
      <c r="N181" s="175"/>
      <c r="O181" s="176" t="s">
        <v>113</v>
      </c>
      <c r="P181" s="176">
        <v>31</v>
      </c>
      <c r="Q181" s="176">
        <v>0</v>
      </c>
      <c r="R181" s="176">
        <f t="shared" si="54"/>
        <v>2</v>
      </c>
      <c r="S181" s="156"/>
      <c r="T181" s="176" t="s">
        <v>113</v>
      </c>
      <c r="U181" s="182">
        <f>Y180</f>
        <v>90000</v>
      </c>
      <c r="V181" s="178">
        <v>13000</v>
      </c>
      <c r="W181" s="182">
        <f t="shared" si="56"/>
        <v>103000</v>
      </c>
      <c r="X181" s="178">
        <v>5000</v>
      </c>
      <c r="Y181" s="182">
        <f t="shared" si="57"/>
        <v>98000</v>
      </c>
      <c r="Z181" s="183"/>
      <c r="AA181" s="158"/>
      <c r="AB181" s="158"/>
      <c r="AC181" s="158"/>
    </row>
    <row r="182" spans="1:29" ht="18" customHeight="1" x14ac:dyDescent="0.3">
      <c r="A182" s="442"/>
      <c r="B182" s="465" t="s">
        <v>114</v>
      </c>
      <c r="C182" s="463">
        <f>IF($J$1="January",R174,IF($J$1="February",R175,IF($J$1="March",R176,IF($J$1="April",R177,IF($J$1="May",R178,IF($J$1="June",R179,IF($J$1="July",R180,IF($J$1="August",R181,IF($J$1="August",R181,IF($J$1="September",R182,IF($J$1="October",R183,IF($J$1="November",R184,IF($J$1="December",R185)))))))))))))</f>
        <v>2</v>
      </c>
      <c r="D182" s="147"/>
      <c r="E182" s="147"/>
      <c r="F182" s="465" t="s">
        <v>115</v>
      </c>
      <c r="G182" s="458">
        <f>IF($J$1="January",Y174,IF($J$1="February",Y175,IF($J$1="March",Y176,IF($J$1="April",Y177,IF($J$1="May",Y178,IF($J$1="June",Y179,IF($J$1="July",Y180,IF($J$1="August",Y181,IF($J$1="August",Y181,IF($J$1="September",Y182,IF($J$1="October",Y183,IF($J$1="November",Y184,IF($J$1="December",Y185)))))))))))))</f>
        <v>93000</v>
      </c>
      <c r="H182" s="147"/>
      <c r="I182" s="557" t="s">
        <v>13</v>
      </c>
      <c r="J182" s="503"/>
      <c r="K182" s="466">
        <f>K180-K181</f>
        <v>50916.666666666664</v>
      </c>
      <c r="L182" s="451"/>
      <c r="M182" s="158"/>
      <c r="N182" s="175"/>
      <c r="O182" s="176" t="s">
        <v>116</v>
      </c>
      <c r="P182" s="176">
        <v>30</v>
      </c>
      <c r="Q182" s="176">
        <v>0</v>
      </c>
      <c r="R182" s="176">
        <f t="shared" si="54"/>
        <v>2</v>
      </c>
      <c r="S182" s="156"/>
      <c r="T182" s="176" t="s">
        <v>116</v>
      </c>
      <c r="U182" s="182">
        <f>Y181</f>
        <v>98000</v>
      </c>
      <c r="V182" s="178"/>
      <c r="W182" s="182">
        <f t="shared" si="56"/>
        <v>98000</v>
      </c>
      <c r="X182" s="178">
        <v>5000</v>
      </c>
      <c r="Y182" s="182">
        <f t="shared" si="57"/>
        <v>93000</v>
      </c>
      <c r="Z182" s="183"/>
      <c r="AA182" s="158"/>
      <c r="AB182" s="158"/>
      <c r="AC182" s="158"/>
    </row>
    <row r="183" spans="1:29" ht="18" customHeight="1" x14ac:dyDescent="0.3">
      <c r="A183" s="442"/>
      <c r="B183" s="147"/>
      <c r="C183" s="147"/>
      <c r="D183" s="147"/>
      <c r="E183" s="147"/>
      <c r="F183" s="147"/>
      <c r="G183" s="147"/>
      <c r="H183" s="147"/>
      <c r="I183" s="560"/>
      <c r="J183" s="531"/>
      <c r="K183" s="447"/>
      <c r="L183" s="454"/>
      <c r="M183" s="158"/>
      <c r="N183" s="175"/>
      <c r="O183" s="176" t="s">
        <v>117</v>
      </c>
      <c r="P183" s="176"/>
      <c r="Q183" s="176"/>
      <c r="R183" s="176" t="str">
        <f t="shared" si="54"/>
        <v/>
      </c>
      <c r="S183" s="156"/>
      <c r="T183" s="176" t="s">
        <v>117</v>
      </c>
      <c r="U183" s="182"/>
      <c r="V183" s="178"/>
      <c r="W183" s="182" t="str">
        <f t="shared" si="56"/>
        <v/>
      </c>
      <c r="X183" s="178"/>
      <c r="Y183" s="182" t="str">
        <f t="shared" si="57"/>
        <v/>
      </c>
      <c r="Z183" s="183"/>
      <c r="AA183" s="158"/>
      <c r="AB183" s="158"/>
      <c r="AC183" s="158"/>
    </row>
    <row r="184" spans="1:29" ht="18" customHeight="1" x14ac:dyDescent="0.3">
      <c r="A184" s="442"/>
      <c r="B184" s="147"/>
      <c r="C184" s="147"/>
      <c r="D184" s="147"/>
      <c r="E184" s="147"/>
      <c r="F184" s="147"/>
      <c r="G184" s="147"/>
      <c r="H184" s="147"/>
      <c r="I184" s="560"/>
      <c r="J184" s="531"/>
      <c r="K184" s="447"/>
      <c r="L184" s="454"/>
      <c r="M184" s="158"/>
      <c r="N184" s="175"/>
      <c r="O184" s="176" t="s">
        <v>118</v>
      </c>
      <c r="P184" s="176"/>
      <c r="Q184" s="176"/>
      <c r="R184" s="176" t="str">
        <f t="shared" si="54"/>
        <v/>
      </c>
      <c r="S184" s="156"/>
      <c r="T184" s="176" t="s">
        <v>118</v>
      </c>
      <c r="U184" s="182"/>
      <c r="V184" s="178"/>
      <c r="W184" s="182" t="str">
        <f t="shared" si="56"/>
        <v/>
      </c>
      <c r="X184" s="178"/>
      <c r="Y184" s="182" t="str">
        <f t="shared" si="57"/>
        <v/>
      </c>
      <c r="Z184" s="183"/>
      <c r="AA184" s="158"/>
      <c r="AB184" s="158"/>
      <c r="AC184" s="158"/>
    </row>
    <row r="185" spans="1:29" ht="18" customHeight="1" thickBot="1" x14ac:dyDescent="0.35">
      <c r="A185" s="467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468"/>
      <c r="M185" s="158"/>
      <c r="N185" s="175"/>
      <c r="O185" s="176" t="s">
        <v>119</v>
      </c>
      <c r="P185" s="176"/>
      <c r="Q185" s="176"/>
      <c r="R185" s="176" t="str">
        <f t="shared" si="54"/>
        <v/>
      </c>
      <c r="S185" s="156"/>
      <c r="T185" s="176" t="s">
        <v>119</v>
      </c>
      <c r="U185" s="182"/>
      <c r="V185" s="178"/>
      <c r="W185" s="182" t="str">
        <f t="shared" si="56"/>
        <v/>
      </c>
      <c r="X185" s="178"/>
      <c r="Y185" s="182" t="str">
        <f t="shared" si="57"/>
        <v/>
      </c>
      <c r="Z185" s="183"/>
      <c r="AA185" s="158"/>
      <c r="AB185" s="158"/>
      <c r="AC185" s="158"/>
    </row>
    <row r="186" spans="1:29" ht="18" customHeight="1" thickBot="1" x14ac:dyDescent="0.25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1"/>
      <c r="N186" s="202"/>
      <c r="O186" s="202"/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1"/>
      <c r="AB186" s="201"/>
      <c r="AC186" s="201"/>
    </row>
    <row r="187" spans="1:29" ht="18" customHeight="1" x14ac:dyDescent="0.2">
      <c r="A187" s="573" t="s">
        <v>87</v>
      </c>
      <c r="B187" s="538"/>
      <c r="C187" s="538"/>
      <c r="D187" s="538"/>
      <c r="E187" s="538"/>
      <c r="F187" s="538"/>
      <c r="G187" s="538"/>
      <c r="H187" s="538"/>
      <c r="I187" s="538"/>
      <c r="J187" s="538"/>
      <c r="K187" s="538"/>
      <c r="L187" s="539"/>
      <c r="M187" s="159"/>
      <c r="N187" s="160"/>
      <c r="O187" s="524" t="s">
        <v>88</v>
      </c>
      <c r="P187" s="525"/>
      <c r="Q187" s="525"/>
      <c r="R187" s="526"/>
      <c r="S187" s="161"/>
      <c r="T187" s="524" t="s">
        <v>89</v>
      </c>
      <c r="U187" s="525"/>
      <c r="V187" s="525"/>
      <c r="W187" s="525"/>
      <c r="X187" s="525"/>
      <c r="Y187" s="526"/>
      <c r="Z187" s="162"/>
      <c r="AA187" s="158"/>
      <c r="AB187" s="158"/>
      <c r="AC187" s="158"/>
    </row>
    <row r="188" spans="1:29" ht="18" customHeight="1" x14ac:dyDescent="0.2">
      <c r="A188" s="163"/>
      <c r="B188" s="149"/>
      <c r="C188" s="535" t="s">
        <v>200</v>
      </c>
      <c r="D188" s="531"/>
      <c r="E188" s="531"/>
      <c r="F188" s="531"/>
      <c r="G188" s="164" t="str">
        <f>$J$1</f>
        <v>September</v>
      </c>
      <c r="H188" s="536">
        <f>$K$1</f>
        <v>2024</v>
      </c>
      <c r="I188" s="531"/>
      <c r="J188" s="149"/>
      <c r="K188" s="165"/>
      <c r="L188" s="166"/>
      <c r="M188" s="167"/>
      <c r="N188" s="168"/>
      <c r="O188" s="169" t="s">
        <v>91</v>
      </c>
      <c r="P188" s="169" t="s">
        <v>92</v>
      </c>
      <c r="Q188" s="169" t="s">
        <v>93</v>
      </c>
      <c r="R188" s="169" t="s">
        <v>94</v>
      </c>
      <c r="S188" s="170"/>
      <c r="T188" s="169" t="s">
        <v>91</v>
      </c>
      <c r="U188" s="169" t="s">
        <v>95</v>
      </c>
      <c r="V188" s="169" t="s">
        <v>9</v>
      </c>
      <c r="W188" s="169" t="s">
        <v>10</v>
      </c>
      <c r="X188" s="169" t="s">
        <v>11</v>
      </c>
      <c r="Y188" s="169" t="s">
        <v>96</v>
      </c>
      <c r="Z188" s="171"/>
      <c r="AA188" s="158"/>
      <c r="AB188" s="158"/>
      <c r="AC188" s="158"/>
    </row>
    <row r="189" spans="1:29" ht="18" customHeight="1" x14ac:dyDescent="0.2">
      <c r="A189" s="163"/>
      <c r="B189" s="149"/>
      <c r="C189" s="149"/>
      <c r="D189" s="172"/>
      <c r="E189" s="172"/>
      <c r="F189" s="172"/>
      <c r="G189" s="172"/>
      <c r="H189" s="172"/>
      <c r="I189" s="149"/>
      <c r="J189" s="173" t="s">
        <v>97</v>
      </c>
      <c r="K189" s="151">
        <f>22000+3000</f>
        <v>25000</v>
      </c>
      <c r="L189" s="174"/>
      <c r="M189" s="158"/>
      <c r="N189" s="175"/>
      <c r="O189" s="176" t="s">
        <v>98</v>
      </c>
      <c r="P189" s="176">
        <v>24</v>
      </c>
      <c r="Q189" s="176">
        <v>7</v>
      </c>
      <c r="R189" s="176"/>
      <c r="S189" s="177"/>
      <c r="T189" s="176" t="s">
        <v>98</v>
      </c>
      <c r="U189" s="178"/>
      <c r="V189" s="178"/>
      <c r="W189" s="178"/>
      <c r="X189" s="178"/>
      <c r="Y189" s="178"/>
      <c r="Z189" s="171"/>
      <c r="AA189" s="158"/>
      <c r="AB189" s="158"/>
      <c r="AC189" s="158"/>
    </row>
    <row r="190" spans="1:29" ht="18" customHeight="1" x14ac:dyDescent="0.2">
      <c r="A190" s="163"/>
      <c r="B190" s="149" t="s">
        <v>99</v>
      </c>
      <c r="C190" s="148" t="s">
        <v>201</v>
      </c>
      <c r="D190" s="149"/>
      <c r="E190" s="149"/>
      <c r="F190" s="149"/>
      <c r="G190" s="149"/>
      <c r="H190" s="179"/>
      <c r="I190" s="172"/>
      <c r="J190" s="149"/>
      <c r="K190" s="149"/>
      <c r="L190" s="180"/>
      <c r="M190" s="159"/>
      <c r="N190" s="181"/>
      <c r="O190" s="176" t="s">
        <v>100</v>
      </c>
      <c r="P190" s="176">
        <v>26</v>
      </c>
      <c r="Q190" s="176">
        <v>3</v>
      </c>
      <c r="R190" s="223"/>
      <c r="S190" s="156"/>
      <c r="T190" s="176" t="s">
        <v>100</v>
      </c>
      <c r="U190" s="182"/>
      <c r="V190" s="178"/>
      <c r="W190" s="182"/>
      <c r="X190" s="178"/>
      <c r="Y190" s="182"/>
      <c r="Z190" s="183"/>
      <c r="AA190" s="158"/>
      <c r="AB190" s="158"/>
      <c r="AC190" s="158"/>
    </row>
    <row r="191" spans="1:29" ht="18" customHeight="1" x14ac:dyDescent="0.2">
      <c r="A191" s="163"/>
      <c r="B191" s="184" t="s">
        <v>101</v>
      </c>
      <c r="C191" s="148"/>
      <c r="D191" s="149"/>
      <c r="E191" s="149"/>
      <c r="F191" s="529" t="s">
        <v>89</v>
      </c>
      <c r="G191" s="503"/>
      <c r="H191" s="149"/>
      <c r="I191" s="529" t="s">
        <v>102</v>
      </c>
      <c r="J191" s="502"/>
      <c r="K191" s="503"/>
      <c r="L191" s="186"/>
      <c r="M191" s="158"/>
      <c r="N191" s="175"/>
      <c r="O191" s="176" t="s">
        <v>103</v>
      </c>
      <c r="P191" s="176">
        <v>25</v>
      </c>
      <c r="Q191" s="176">
        <v>6</v>
      </c>
      <c r="R191" s="223"/>
      <c r="S191" s="156"/>
      <c r="T191" s="176" t="s">
        <v>103</v>
      </c>
      <c r="U191" s="182"/>
      <c r="V191" s="178"/>
      <c r="W191" s="182"/>
      <c r="X191" s="178"/>
      <c r="Y191" s="182"/>
      <c r="Z191" s="183"/>
      <c r="AA191" s="158"/>
      <c r="AB191" s="158"/>
      <c r="AC191" s="158"/>
    </row>
    <row r="192" spans="1:29" ht="18" customHeight="1" x14ac:dyDescent="0.2">
      <c r="A192" s="163"/>
      <c r="B192" s="149"/>
      <c r="C192" s="149"/>
      <c r="D192" s="149"/>
      <c r="E192" s="149"/>
      <c r="F192" s="149"/>
      <c r="G192" s="149"/>
      <c r="H192" s="187"/>
      <c r="I192" s="149"/>
      <c r="J192" s="149"/>
      <c r="K192" s="149"/>
      <c r="L192" s="188"/>
      <c r="M192" s="158"/>
      <c r="N192" s="175"/>
      <c r="O192" s="176" t="s">
        <v>104</v>
      </c>
      <c r="P192" s="176">
        <v>29</v>
      </c>
      <c r="Q192" s="176">
        <v>1</v>
      </c>
      <c r="R192" s="176">
        <v>0</v>
      </c>
      <c r="S192" s="156"/>
      <c r="T192" s="176" t="s">
        <v>104</v>
      </c>
      <c r="U192" s="182"/>
      <c r="V192" s="178"/>
      <c r="W192" s="182"/>
      <c r="X192" s="178"/>
      <c r="Y192" s="182"/>
      <c r="Z192" s="183"/>
      <c r="AA192" s="158"/>
      <c r="AB192" s="158"/>
      <c r="AC192" s="158"/>
    </row>
    <row r="193" spans="1:29" ht="18" customHeight="1" x14ac:dyDescent="0.2">
      <c r="A193" s="163"/>
      <c r="B193" s="527" t="s">
        <v>88</v>
      </c>
      <c r="C193" s="503"/>
      <c r="D193" s="149"/>
      <c r="E193" s="149"/>
      <c r="F193" s="189" t="s">
        <v>105</v>
      </c>
      <c r="G193" s="190">
        <f>IF($J$1="January",U189,IF($J$1="February",U190,IF($J$1="March",U191,IF($J$1="April",U192,IF($J$1="May",U193,IF($J$1="June",U194,IF($J$1="July",U195,IF($J$1="August",U196,IF($J$1="August",U196,IF($J$1="September",U197,IF($J$1="October",U198,IF($J$1="November",U199,IF($J$1="December",U200)))))))))))))</f>
        <v>0</v>
      </c>
      <c r="H193" s="187"/>
      <c r="I193" s="191">
        <f>IF(C197&gt;0,$K$2,C195)</f>
        <v>28</v>
      </c>
      <c r="J193" s="192" t="s">
        <v>106</v>
      </c>
      <c r="K193" s="193">
        <f>K189/$K$2*I193</f>
        <v>23333.333333333336</v>
      </c>
      <c r="L193" s="194"/>
      <c r="M193" s="158"/>
      <c r="N193" s="175"/>
      <c r="O193" s="176" t="s">
        <v>107</v>
      </c>
      <c r="P193" s="176">
        <v>26</v>
      </c>
      <c r="Q193" s="176">
        <v>7</v>
      </c>
      <c r="R193" s="176">
        <v>0</v>
      </c>
      <c r="S193" s="156"/>
      <c r="T193" s="176" t="s">
        <v>107</v>
      </c>
      <c r="U193" s="182"/>
      <c r="V193" s="178"/>
      <c r="W193" s="182"/>
      <c r="X193" s="178"/>
      <c r="Y193" s="182"/>
      <c r="Z193" s="183"/>
      <c r="AA193" s="158"/>
      <c r="AB193" s="158"/>
      <c r="AC193" s="158"/>
    </row>
    <row r="194" spans="1:29" ht="18" customHeight="1" x14ac:dyDescent="0.2">
      <c r="A194" s="163"/>
      <c r="B194" s="195"/>
      <c r="C194" s="195"/>
      <c r="D194" s="149"/>
      <c r="E194" s="149"/>
      <c r="F194" s="189" t="s">
        <v>9</v>
      </c>
      <c r="G194" s="190">
        <f>IF($J$1="January",V189,IF($J$1="February",V190,IF($J$1="March",V191,IF($J$1="April",V192,IF($J$1="May",V193,IF($J$1="June",V194,IF($J$1="July",V195,IF($J$1="August",V196,IF($J$1="August",V196,IF($J$1="September",V197,IF($J$1="October",V198,IF($J$1="November",V199,IF($J$1="December",V200)))))))))))))</f>
        <v>0</v>
      </c>
      <c r="H194" s="187"/>
      <c r="I194" s="211">
        <v>61</v>
      </c>
      <c r="J194" s="192" t="s">
        <v>108</v>
      </c>
      <c r="K194" s="190">
        <f>K189/$K$2/8*I194</f>
        <v>6354.166666666667</v>
      </c>
      <c r="L194" s="196"/>
      <c r="M194" s="158"/>
      <c r="N194" s="175"/>
      <c r="O194" s="176" t="s">
        <v>84</v>
      </c>
      <c r="P194" s="176">
        <v>22</v>
      </c>
      <c r="Q194" s="176">
        <v>8</v>
      </c>
      <c r="R194" s="176">
        <v>0</v>
      </c>
      <c r="S194" s="156"/>
      <c r="T194" s="176" t="s">
        <v>84</v>
      </c>
      <c r="U194" s="182"/>
      <c r="V194" s="178"/>
      <c r="W194" s="182"/>
      <c r="X194" s="178"/>
      <c r="Y194" s="182"/>
      <c r="Z194" s="183"/>
      <c r="AA194" s="158"/>
      <c r="AB194" s="158"/>
      <c r="AC194" s="158"/>
    </row>
    <row r="195" spans="1:29" ht="18" customHeight="1" x14ac:dyDescent="0.2">
      <c r="A195" s="163"/>
      <c r="B195" s="189" t="s">
        <v>92</v>
      </c>
      <c r="C195" s="195">
        <f>IF($J$1="January",P189,IF($J$1="February",P190,IF($J$1="March",P191,IF($J$1="April",P192,IF($J$1="May",P193,IF($J$1="June",P194,IF($J$1="July",P195,IF($J$1="August",P196,IF($J$1="August",P196,IF($J$1="September",P197,IF($J$1="October",P198,IF($J$1="November",P199,IF($J$1="December",P200)))))))))))))</f>
        <v>28</v>
      </c>
      <c r="D195" s="149"/>
      <c r="E195" s="149"/>
      <c r="F195" s="189" t="s">
        <v>109</v>
      </c>
      <c r="G195" s="190">
        <f>IF($J$1="January",W189,IF($J$1="February",W190,IF($J$1="March",W191,IF($J$1="April",W192,IF($J$1="May",W193,IF($J$1="June",W194,IF($J$1="July",W195,IF($J$1="August",W196,IF($J$1="August",W196,IF($J$1="September",W197,IF($J$1="October",W198,IF($J$1="November",W199,IF($J$1="December",W200)))))))))))))</f>
        <v>0</v>
      </c>
      <c r="H195" s="187"/>
      <c r="I195" s="528" t="s">
        <v>110</v>
      </c>
      <c r="J195" s="503"/>
      <c r="K195" s="190">
        <f>K193+K194</f>
        <v>29687.500000000004</v>
      </c>
      <c r="L195" s="196"/>
      <c r="M195" s="158"/>
      <c r="N195" s="175"/>
      <c r="O195" s="176" t="s">
        <v>111</v>
      </c>
      <c r="P195" s="176">
        <v>28</v>
      </c>
      <c r="Q195" s="176">
        <v>3</v>
      </c>
      <c r="R195" s="176">
        <v>0</v>
      </c>
      <c r="S195" s="156"/>
      <c r="T195" s="176" t="s">
        <v>111</v>
      </c>
      <c r="U195" s="182"/>
      <c r="V195" s="178"/>
      <c r="W195" s="182"/>
      <c r="X195" s="178"/>
      <c r="Y195" s="182"/>
      <c r="Z195" s="183"/>
      <c r="AA195" s="158"/>
      <c r="AB195" s="158"/>
      <c r="AC195" s="158"/>
    </row>
    <row r="196" spans="1:29" ht="18" customHeight="1" x14ac:dyDescent="0.2">
      <c r="A196" s="163"/>
      <c r="B196" s="189" t="s">
        <v>93</v>
      </c>
      <c r="C196" s="195">
        <f>IF($J$1="January",Q189,IF($J$1="February",Q190,IF($J$1="March",Q191,IF($J$1="April",Q192,IF($J$1="May",Q193,IF($J$1="June",Q194,IF($J$1="July",Q195,IF($J$1="August",Q196,IF($J$1="August",Q196,IF($J$1="September",Q197,IF($J$1="October",Q198,IF($J$1="November",Q199,IF($J$1="December",Q200)))))))))))))</f>
        <v>2</v>
      </c>
      <c r="D196" s="149"/>
      <c r="E196" s="149"/>
      <c r="F196" s="189" t="s">
        <v>11</v>
      </c>
      <c r="G196" s="190">
        <f>IF($J$1="January",X189,IF($J$1="February",X190,IF($J$1="March",X191,IF($J$1="April",X192,IF($J$1="May",X193,IF($J$1="June",X194,IF($J$1="July",X195,IF($J$1="August",X196,IF($J$1="August",X196,IF($J$1="September",X197,IF($J$1="October",X198,IF($J$1="November",X199,IF($J$1="December",X200)))))))))))))</f>
        <v>0</v>
      </c>
      <c r="H196" s="187"/>
      <c r="I196" s="528" t="s">
        <v>112</v>
      </c>
      <c r="J196" s="503"/>
      <c r="K196" s="190">
        <f>G196</f>
        <v>0</v>
      </c>
      <c r="L196" s="196"/>
      <c r="M196" s="158"/>
      <c r="N196" s="175"/>
      <c r="O196" s="176" t="s">
        <v>113</v>
      </c>
      <c r="P196" s="205">
        <v>26</v>
      </c>
      <c r="Q196" s="205">
        <v>5</v>
      </c>
      <c r="R196" s="176">
        <v>0</v>
      </c>
      <c r="S196" s="156"/>
      <c r="T196" s="176" t="s">
        <v>113</v>
      </c>
      <c r="U196" s="182"/>
      <c r="V196" s="178"/>
      <c r="W196" s="182"/>
      <c r="X196" s="178"/>
      <c r="Y196" s="182"/>
      <c r="Z196" s="183"/>
      <c r="AA196" s="158"/>
      <c r="AB196" s="158"/>
      <c r="AC196" s="158"/>
    </row>
    <row r="197" spans="1:29" ht="18" customHeight="1" x14ac:dyDescent="0.2">
      <c r="A197" s="163"/>
      <c r="B197" s="212" t="s">
        <v>114</v>
      </c>
      <c r="C197" s="195">
        <f>IF($J$1="January",R189,IF($J$1="February",R190,IF($J$1="March",R191,IF($J$1="April",R192,IF($J$1="May",R193,IF($J$1="June",R194,IF($J$1="July",R195,IF($J$1="August",R196,IF($J$1="August",R196,IF($J$1="September",R197,IF($J$1="October",R198,IF($J$1="November",R199,IF($J$1="December",R200)))))))))))))</f>
        <v>0</v>
      </c>
      <c r="D197" s="149"/>
      <c r="E197" s="149"/>
      <c r="F197" s="189" t="s">
        <v>167</v>
      </c>
      <c r="G197" s="190">
        <f>IF($J$1="January",Y189,IF($J$1="February",Y190,IF($J$1="March",Y191,IF($J$1="April",Y192,IF($J$1="May",Y193,IF($J$1="June",Y194,IF($J$1="July",Y195,IF($J$1="August",Y196,IF($J$1="August",Y196,IF($J$1="September",Y197,IF($J$1="October",Y198,IF($J$1="November",Y199,IF($J$1="December",Y200)))))))))))))</f>
        <v>0</v>
      </c>
      <c r="H197" s="149"/>
      <c r="I197" s="529" t="s">
        <v>13</v>
      </c>
      <c r="J197" s="503"/>
      <c r="K197" s="37">
        <f>K195-K196</f>
        <v>29687.500000000004</v>
      </c>
      <c r="L197" s="180"/>
      <c r="M197" s="158"/>
      <c r="N197" s="175"/>
      <c r="O197" s="176" t="s">
        <v>116</v>
      </c>
      <c r="P197" s="176">
        <v>28</v>
      </c>
      <c r="Q197" s="176">
        <v>2</v>
      </c>
      <c r="R197" s="176">
        <v>0</v>
      </c>
      <c r="S197" s="156"/>
      <c r="T197" s="176" t="s">
        <v>116</v>
      </c>
      <c r="U197" s="182"/>
      <c r="V197" s="178"/>
      <c r="W197" s="182"/>
      <c r="X197" s="178"/>
      <c r="Y197" s="182"/>
      <c r="Z197" s="183"/>
      <c r="AA197" s="158"/>
      <c r="AB197" s="158"/>
      <c r="AC197" s="158"/>
    </row>
    <row r="198" spans="1:29" ht="18" customHeight="1" x14ac:dyDescent="0.2">
      <c r="A198" s="163"/>
      <c r="B198" s="149"/>
      <c r="C198" s="149"/>
      <c r="D198" s="149"/>
      <c r="E198" s="149"/>
      <c r="F198" s="149"/>
      <c r="G198" s="149"/>
      <c r="H198" s="149"/>
      <c r="I198" s="530"/>
      <c r="J198" s="531"/>
      <c r="K198" s="151"/>
      <c r="L198" s="186"/>
      <c r="M198" s="158"/>
      <c r="N198" s="175"/>
      <c r="O198" s="176" t="s">
        <v>117</v>
      </c>
      <c r="P198" s="176"/>
      <c r="Q198" s="176"/>
      <c r="R198" s="176">
        <v>0</v>
      </c>
      <c r="S198" s="156"/>
      <c r="T198" s="176" t="s">
        <v>117</v>
      </c>
      <c r="U198" s="182"/>
      <c r="V198" s="178"/>
      <c r="W198" s="182"/>
      <c r="X198" s="178"/>
      <c r="Y198" s="182"/>
      <c r="Z198" s="183"/>
      <c r="AA198" s="158"/>
      <c r="AB198" s="158"/>
      <c r="AC198" s="158"/>
    </row>
    <row r="199" spans="1:29" ht="18" customHeight="1" x14ac:dyDescent="0.3">
      <c r="A199" s="163"/>
      <c r="B199" s="147"/>
      <c r="C199" s="147"/>
      <c r="D199" s="147"/>
      <c r="E199" s="147"/>
      <c r="F199" s="147"/>
      <c r="G199" s="147"/>
      <c r="H199" s="147"/>
      <c r="I199" s="530"/>
      <c r="J199" s="531"/>
      <c r="K199" s="151"/>
      <c r="L199" s="186"/>
      <c r="M199" s="158"/>
      <c r="N199" s="175"/>
      <c r="O199" s="176" t="s">
        <v>118</v>
      </c>
      <c r="P199" s="176"/>
      <c r="Q199" s="176"/>
      <c r="R199" s="176">
        <v>0</v>
      </c>
      <c r="S199" s="156"/>
      <c r="T199" s="176" t="s">
        <v>118</v>
      </c>
      <c r="U199" s="182">
        <f>IF($J$1="October","",Y198)</f>
        <v>0</v>
      </c>
      <c r="V199" s="178"/>
      <c r="W199" s="182">
        <f t="shared" ref="W199:W200" si="59">IF(U199="","",U199+V199)</f>
        <v>0</v>
      </c>
      <c r="X199" s="178"/>
      <c r="Y199" s="182">
        <f t="shared" ref="Y199:Y200" si="60">IF(W199="","",W199-X199)</f>
        <v>0</v>
      </c>
      <c r="Z199" s="183"/>
      <c r="AA199" s="158"/>
      <c r="AB199" s="158"/>
      <c r="AC199" s="158"/>
    </row>
    <row r="200" spans="1:29" ht="18" customHeight="1" x14ac:dyDescent="0.3">
      <c r="A200" s="163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86"/>
      <c r="M200" s="158"/>
      <c r="N200" s="175"/>
      <c r="O200" s="176" t="s">
        <v>119</v>
      </c>
      <c r="P200" s="176"/>
      <c r="Q200" s="176"/>
      <c r="R200" s="176">
        <v>0</v>
      </c>
      <c r="S200" s="156"/>
      <c r="T200" s="176" t="s">
        <v>119</v>
      </c>
      <c r="U200" s="182">
        <f>IF($J$1="November","",Y199)</f>
        <v>0</v>
      </c>
      <c r="V200" s="178"/>
      <c r="W200" s="182">
        <f t="shared" si="59"/>
        <v>0</v>
      </c>
      <c r="X200" s="178"/>
      <c r="Y200" s="182">
        <f t="shared" si="60"/>
        <v>0</v>
      </c>
      <c r="Z200" s="183"/>
      <c r="AA200" s="158"/>
      <c r="AB200" s="158"/>
      <c r="AC200" s="158"/>
    </row>
    <row r="201" spans="1:29" ht="18" customHeight="1" thickBot="1" x14ac:dyDescent="0.25">
      <c r="A201" s="197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199"/>
      <c r="M201" s="158"/>
      <c r="N201" s="214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8"/>
      <c r="AA201" s="158"/>
      <c r="AB201" s="158"/>
      <c r="AC201" s="158"/>
    </row>
    <row r="202" spans="1:29" ht="18" customHeight="1" thickBot="1" x14ac:dyDescent="0.25">
      <c r="A202" s="532" t="s">
        <v>87</v>
      </c>
      <c r="B202" s="533"/>
      <c r="C202" s="533"/>
      <c r="D202" s="533"/>
      <c r="E202" s="533"/>
      <c r="F202" s="533"/>
      <c r="G202" s="533"/>
      <c r="H202" s="533"/>
      <c r="I202" s="533"/>
      <c r="J202" s="533"/>
      <c r="K202" s="533"/>
      <c r="L202" s="534"/>
      <c r="M202" s="159"/>
      <c r="N202" s="160"/>
      <c r="O202" s="524" t="s">
        <v>88</v>
      </c>
      <c r="P202" s="525"/>
      <c r="Q202" s="525"/>
      <c r="R202" s="526"/>
      <c r="S202" s="161"/>
      <c r="T202" s="524" t="s">
        <v>89</v>
      </c>
      <c r="U202" s="525"/>
      <c r="V202" s="525"/>
      <c r="W202" s="525"/>
      <c r="X202" s="525"/>
      <c r="Y202" s="526"/>
      <c r="Z202" s="162"/>
      <c r="AA202" s="159"/>
      <c r="AB202" s="158"/>
      <c r="AC202" s="158"/>
    </row>
    <row r="203" spans="1:29" ht="18" customHeight="1" x14ac:dyDescent="0.2">
      <c r="A203" s="163"/>
      <c r="B203" s="149"/>
      <c r="C203" s="535" t="s">
        <v>143</v>
      </c>
      <c r="D203" s="531"/>
      <c r="E203" s="531"/>
      <c r="F203" s="531"/>
      <c r="G203" s="164" t="str">
        <f>$J$1</f>
        <v>September</v>
      </c>
      <c r="H203" s="536">
        <f>$K$1</f>
        <v>2024</v>
      </c>
      <c r="I203" s="531"/>
      <c r="J203" s="149"/>
      <c r="K203" s="165"/>
      <c r="L203" s="166"/>
      <c r="M203" s="167"/>
      <c r="N203" s="168"/>
      <c r="O203" s="169" t="s">
        <v>91</v>
      </c>
      <c r="P203" s="169" t="s">
        <v>92</v>
      </c>
      <c r="Q203" s="169" t="s">
        <v>93</v>
      </c>
      <c r="R203" s="169" t="s">
        <v>94</v>
      </c>
      <c r="S203" s="170"/>
      <c r="T203" s="169" t="s">
        <v>91</v>
      </c>
      <c r="U203" s="169" t="s">
        <v>95</v>
      </c>
      <c r="V203" s="169" t="s">
        <v>9</v>
      </c>
      <c r="W203" s="169" t="s">
        <v>10</v>
      </c>
      <c r="X203" s="169" t="s">
        <v>11</v>
      </c>
      <c r="Y203" s="169" t="s">
        <v>96</v>
      </c>
      <c r="Z203" s="171"/>
      <c r="AA203" s="167"/>
      <c r="AB203" s="158"/>
      <c r="AC203" s="158"/>
    </row>
    <row r="204" spans="1:29" ht="18" customHeight="1" x14ac:dyDescent="0.2">
      <c r="A204" s="163"/>
      <c r="B204" s="149"/>
      <c r="C204" s="149"/>
      <c r="D204" s="172"/>
      <c r="E204" s="172"/>
      <c r="F204" s="172"/>
      <c r="G204" s="172"/>
      <c r="H204" s="172"/>
      <c r="I204" s="149"/>
      <c r="J204" s="173" t="s">
        <v>97</v>
      </c>
      <c r="K204" s="151">
        <f>24000+3000+3000+5000</f>
        <v>35000</v>
      </c>
      <c r="L204" s="174"/>
      <c r="M204" s="158"/>
      <c r="N204" s="175"/>
      <c r="O204" s="176" t="s">
        <v>98</v>
      </c>
      <c r="P204" s="176">
        <v>31</v>
      </c>
      <c r="Q204" s="176">
        <v>0</v>
      </c>
      <c r="R204" s="176">
        <f>15-Q204-5</f>
        <v>10</v>
      </c>
      <c r="S204" s="177"/>
      <c r="T204" s="176" t="s">
        <v>98</v>
      </c>
      <c r="U204" s="178">
        <v>84000</v>
      </c>
      <c r="V204" s="178"/>
      <c r="W204" s="178">
        <f>V204+U204</f>
        <v>84000</v>
      </c>
      <c r="X204" s="178">
        <v>5000</v>
      </c>
      <c r="Y204" s="178">
        <f>W204-X204</f>
        <v>79000</v>
      </c>
      <c r="Z204" s="171"/>
      <c r="AA204" s="158"/>
      <c r="AB204" s="158"/>
      <c r="AC204" s="158"/>
    </row>
    <row r="205" spans="1:29" ht="18" customHeight="1" x14ac:dyDescent="0.2">
      <c r="A205" s="163"/>
      <c r="B205" s="149" t="s">
        <v>99</v>
      </c>
      <c r="C205" s="148" t="s">
        <v>144</v>
      </c>
      <c r="D205" s="149"/>
      <c r="E205" s="149"/>
      <c r="F205" s="149"/>
      <c r="G205" s="149"/>
      <c r="H205" s="179"/>
      <c r="I205" s="172"/>
      <c r="J205" s="149"/>
      <c r="K205" s="149"/>
      <c r="L205" s="180"/>
      <c r="M205" s="159"/>
      <c r="N205" s="181"/>
      <c r="O205" s="176" t="s">
        <v>100</v>
      </c>
      <c r="P205" s="176">
        <v>28</v>
      </c>
      <c r="Q205" s="176">
        <v>1</v>
      </c>
      <c r="R205" s="176">
        <f t="shared" ref="R205:R212" si="61">15-Q205-5</f>
        <v>9</v>
      </c>
      <c r="S205" s="156"/>
      <c r="T205" s="176" t="s">
        <v>100</v>
      </c>
      <c r="U205" s="182">
        <f t="shared" ref="U205:U206" si="62">Y204</f>
        <v>79000</v>
      </c>
      <c r="V205" s="178"/>
      <c r="W205" s="182">
        <f t="shared" ref="W205:W215" si="63">IF(U205="","",U205+V205)</f>
        <v>79000</v>
      </c>
      <c r="X205" s="178">
        <v>5000</v>
      </c>
      <c r="Y205" s="182">
        <f t="shared" ref="Y205:Y215" si="64">IF(W205="","",W205-X205)</f>
        <v>74000</v>
      </c>
      <c r="Z205" s="183"/>
      <c r="AA205" s="159"/>
      <c r="AB205" s="158"/>
      <c r="AC205" s="158"/>
    </row>
    <row r="206" spans="1:29" ht="18" customHeight="1" x14ac:dyDescent="0.2">
      <c r="A206" s="163"/>
      <c r="B206" s="184" t="s">
        <v>101</v>
      </c>
      <c r="C206" s="185"/>
      <c r="D206" s="149"/>
      <c r="E206" s="149"/>
      <c r="F206" s="529" t="s">
        <v>89</v>
      </c>
      <c r="G206" s="503"/>
      <c r="H206" s="149"/>
      <c r="I206" s="529" t="s">
        <v>102</v>
      </c>
      <c r="J206" s="502"/>
      <c r="K206" s="503"/>
      <c r="L206" s="186"/>
      <c r="M206" s="158"/>
      <c r="N206" s="175"/>
      <c r="O206" s="176" t="s">
        <v>103</v>
      </c>
      <c r="P206" s="176">
        <v>29</v>
      </c>
      <c r="Q206" s="176">
        <v>2</v>
      </c>
      <c r="R206" s="176">
        <f t="shared" si="61"/>
        <v>8</v>
      </c>
      <c r="S206" s="156"/>
      <c r="T206" s="176" t="s">
        <v>103</v>
      </c>
      <c r="U206" s="182">
        <f t="shared" si="62"/>
        <v>74000</v>
      </c>
      <c r="V206" s="178"/>
      <c r="W206" s="182">
        <f t="shared" si="63"/>
        <v>74000</v>
      </c>
      <c r="X206" s="178">
        <v>5000</v>
      </c>
      <c r="Y206" s="182">
        <f t="shared" si="64"/>
        <v>69000</v>
      </c>
      <c r="Z206" s="183"/>
      <c r="AA206" s="158"/>
      <c r="AB206" s="158"/>
      <c r="AC206" s="158"/>
    </row>
    <row r="207" spans="1:29" ht="18" customHeight="1" x14ac:dyDescent="0.2">
      <c r="A207" s="163"/>
      <c r="B207" s="149"/>
      <c r="C207" s="149"/>
      <c r="D207" s="149"/>
      <c r="E207" s="149"/>
      <c r="F207" s="149"/>
      <c r="G207" s="149"/>
      <c r="H207" s="187"/>
      <c r="I207" s="149"/>
      <c r="J207" s="149"/>
      <c r="K207" s="149"/>
      <c r="L207" s="188"/>
      <c r="M207" s="158"/>
      <c r="N207" s="175"/>
      <c r="O207" s="176" t="s">
        <v>104</v>
      </c>
      <c r="P207" s="176">
        <v>29</v>
      </c>
      <c r="Q207" s="176">
        <v>1</v>
      </c>
      <c r="R207" s="176">
        <f t="shared" si="61"/>
        <v>9</v>
      </c>
      <c r="S207" s="156"/>
      <c r="T207" s="176" t="s">
        <v>104</v>
      </c>
      <c r="U207" s="182">
        <f>IF($J$1="March","",Y206)</f>
        <v>69000</v>
      </c>
      <c r="V207" s="178"/>
      <c r="W207" s="182">
        <f t="shared" si="63"/>
        <v>69000</v>
      </c>
      <c r="X207" s="178">
        <v>5000</v>
      </c>
      <c r="Y207" s="182">
        <f t="shared" si="64"/>
        <v>64000</v>
      </c>
      <c r="Z207" s="183"/>
      <c r="AA207" s="158"/>
      <c r="AB207" s="158"/>
      <c r="AC207" s="158"/>
    </row>
    <row r="208" spans="1:29" ht="18" customHeight="1" x14ac:dyDescent="0.3">
      <c r="A208" s="163"/>
      <c r="B208" s="527" t="s">
        <v>88</v>
      </c>
      <c r="C208" s="503"/>
      <c r="D208" s="149"/>
      <c r="E208" s="149"/>
      <c r="F208" s="189" t="s">
        <v>105</v>
      </c>
      <c r="G208" s="190">
        <f>IF($J$1="January",U204,IF($J$1="February",U205,IF($J$1="March",U206,IF($J$1="April",U207,IF($J$1="May",U208,IF($J$1="June",U209,IF($J$1="July",U210,IF($J$1="August",U211,IF($J$1="August",U211,IF($J$1="September",U212,IF($J$1="October",U213,IF($J$1="November",U214,IF($J$1="December",U215)))))))))))))</f>
        <v>44000</v>
      </c>
      <c r="H208" s="187"/>
      <c r="I208" s="459">
        <f>IF(C212&gt;0,$K$2,C210)</f>
        <v>30</v>
      </c>
      <c r="J208" s="192" t="s">
        <v>106</v>
      </c>
      <c r="K208" s="193">
        <f>K204/$K$2*I208</f>
        <v>35000</v>
      </c>
      <c r="L208" s="194"/>
      <c r="M208" s="158"/>
      <c r="N208" s="175"/>
      <c r="O208" s="176" t="s">
        <v>107</v>
      </c>
      <c r="P208" s="176">
        <v>30</v>
      </c>
      <c r="Q208" s="176">
        <v>1</v>
      </c>
      <c r="R208" s="176">
        <f t="shared" si="61"/>
        <v>9</v>
      </c>
      <c r="S208" s="156"/>
      <c r="T208" s="176" t="s">
        <v>107</v>
      </c>
      <c r="U208" s="182">
        <f t="shared" ref="U208:U209" si="65">Y207</f>
        <v>64000</v>
      </c>
      <c r="V208" s="178"/>
      <c r="W208" s="182">
        <f t="shared" si="63"/>
        <v>64000</v>
      </c>
      <c r="X208" s="178">
        <v>5000</v>
      </c>
      <c r="Y208" s="182">
        <f t="shared" si="64"/>
        <v>59000</v>
      </c>
      <c r="Z208" s="183"/>
      <c r="AA208" s="158"/>
      <c r="AB208" s="158"/>
      <c r="AC208" s="158"/>
    </row>
    <row r="209" spans="1:29" ht="18" customHeight="1" x14ac:dyDescent="0.2">
      <c r="A209" s="163"/>
      <c r="B209" s="195"/>
      <c r="C209" s="195"/>
      <c r="D209" s="149"/>
      <c r="E209" s="149"/>
      <c r="F209" s="189" t="s">
        <v>9</v>
      </c>
      <c r="G209" s="190">
        <f>IF($J$1="January",V204,IF($J$1="February",V205,IF($J$1="March",V206,IF($J$1="April",V207,IF($J$1="May",V208,IF($J$1="June",V209,IF($J$1="July",V210,IF($J$1="August",V211,IF($J$1="August",V211,IF($J$1="September",V212,IF($J$1="October",V213,IF($J$1="November",V214,IF($J$1="December",V215)))))))))))))</f>
        <v>0</v>
      </c>
      <c r="H209" s="187"/>
      <c r="I209" s="191">
        <v>59</v>
      </c>
      <c r="J209" s="192" t="s">
        <v>108</v>
      </c>
      <c r="K209" s="190">
        <f>K204/$K$2/8*I209</f>
        <v>8604.1666666666679</v>
      </c>
      <c r="L209" s="196"/>
      <c r="M209" s="158"/>
      <c r="N209" s="175"/>
      <c r="O209" s="176" t="s">
        <v>84</v>
      </c>
      <c r="P209" s="176">
        <v>31</v>
      </c>
      <c r="Q209" s="176">
        <v>0</v>
      </c>
      <c r="R209" s="176">
        <f t="shared" si="61"/>
        <v>10</v>
      </c>
      <c r="S209" s="156"/>
      <c r="T209" s="176" t="s">
        <v>84</v>
      </c>
      <c r="U209" s="182">
        <f t="shared" si="65"/>
        <v>59000</v>
      </c>
      <c r="V209" s="178"/>
      <c r="W209" s="182">
        <f t="shared" si="63"/>
        <v>59000</v>
      </c>
      <c r="X209" s="178">
        <v>5000</v>
      </c>
      <c r="Y209" s="182">
        <f t="shared" si="64"/>
        <v>54000</v>
      </c>
      <c r="Z209" s="183"/>
      <c r="AA209" s="158"/>
      <c r="AB209" s="158"/>
      <c r="AC209" s="158"/>
    </row>
    <row r="210" spans="1:29" ht="18" customHeight="1" x14ac:dyDescent="0.2">
      <c r="A210" s="163"/>
      <c r="B210" s="189" t="s">
        <v>92</v>
      </c>
      <c r="C210" s="195">
        <f>IF($J$1="January",P204,IF($J$1="February",P205,IF($J$1="March",P206,IF($J$1="April",P207,IF($J$1="May",P208,IF($J$1="June",P209,IF($J$1="July",P210,IF($J$1="August",P211,IF($J$1="August",P211,IF($J$1="September",P212,IF($J$1="October",P213,IF($J$1="November",P214,IF($J$1="December",P215)))))))))))))</f>
        <v>30</v>
      </c>
      <c r="D210" s="149"/>
      <c r="E210" s="149"/>
      <c r="F210" s="189" t="s">
        <v>109</v>
      </c>
      <c r="G210" s="190">
        <f>IF($J$1="January",W204,IF($J$1="February",W205,IF($J$1="March",W206,IF($J$1="April",W207,IF($J$1="May",W208,IF($J$1="June",W209,IF($J$1="July",W210,IF($J$1="August",W211,IF($J$1="August",W211,IF($J$1="September",W212,IF($J$1="October",W213,IF($J$1="November",W214,IF($J$1="December",W215)))))))))))))</f>
        <v>44000</v>
      </c>
      <c r="H210" s="187"/>
      <c r="I210" s="528" t="s">
        <v>110</v>
      </c>
      <c r="J210" s="503"/>
      <c r="K210" s="190">
        <f>K208+K209</f>
        <v>43604.166666666672</v>
      </c>
      <c r="L210" s="196"/>
      <c r="M210" s="158"/>
      <c r="N210" s="175"/>
      <c r="O210" s="176" t="s">
        <v>111</v>
      </c>
      <c r="P210" s="176">
        <v>31</v>
      </c>
      <c r="Q210" s="176">
        <v>0</v>
      </c>
      <c r="R210" s="176">
        <f t="shared" si="61"/>
        <v>10</v>
      </c>
      <c r="S210" s="156"/>
      <c r="T210" s="176" t="s">
        <v>111</v>
      </c>
      <c r="U210" s="182">
        <f>Y209</f>
        <v>54000</v>
      </c>
      <c r="V210" s="178"/>
      <c r="W210" s="182">
        <f t="shared" si="63"/>
        <v>54000</v>
      </c>
      <c r="X210" s="178">
        <v>5000</v>
      </c>
      <c r="Y210" s="182">
        <f t="shared" si="64"/>
        <v>49000</v>
      </c>
      <c r="Z210" s="183"/>
      <c r="AA210" s="158"/>
      <c r="AB210" s="158"/>
      <c r="AC210" s="158"/>
    </row>
    <row r="211" spans="1:29" ht="18" customHeight="1" x14ac:dyDescent="0.2">
      <c r="A211" s="163"/>
      <c r="B211" s="189" t="s">
        <v>93</v>
      </c>
      <c r="C211" s="195">
        <f>IF($J$1="January",Q204,IF($J$1="February",Q205,IF($J$1="March",Q206,IF($J$1="April",Q207,IF($J$1="May",Q208,IF($J$1="June",Q209,IF($J$1="July",Q210,IF($J$1="August",Q211,IF($J$1="August",Q211,IF($J$1="September",Q212,IF($J$1="October",Q213,IF($J$1="November",Q214,IF($J$1="December",Q215)))))))))))))</f>
        <v>0</v>
      </c>
      <c r="D211" s="149"/>
      <c r="E211" s="149"/>
      <c r="F211" s="189" t="s">
        <v>11</v>
      </c>
      <c r="G211" s="190">
        <f>IF($J$1="January",X204,IF($J$1="February",X205,IF($J$1="March",X206,IF($J$1="April",X207,IF($J$1="May",X208,IF($J$1="June",X209,IF($J$1="July",X210,IF($J$1="August",X211,IF($J$1="August",X211,IF($J$1="September",X212,IF($J$1="October",X213,IF($J$1="November",X214,IF($J$1="December",X215)))))))))))))</f>
        <v>5000</v>
      </c>
      <c r="H211" s="187"/>
      <c r="I211" s="528" t="s">
        <v>112</v>
      </c>
      <c r="J211" s="503"/>
      <c r="K211" s="190">
        <f>G211</f>
        <v>5000</v>
      </c>
      <c r="L211" s="196"/>
      <c r="M211" s="158"/>
      <c r="N211" s="175"/>
      <c r="O211" s="176" t="s">
        <v>113</v>
      </c>
      <c r="P211" s="176">
        <v>27</v>
      </c>
      <c r="Q211" s="176">
        <v>2</v>
      </c>
      <c r="R211" s="176">
        <f t="shared" si="61"/>
        <v>8</v>
      </c>
      <c r="S211" s="156"/>
      <c r="T211" s="176" t="s">
        <v>113</v>
      </c>
      <c r="U211" s="182">
        <f>Y210</f>
        <v>49000</v>
      </c>
      <c r="V211" s="178"/>
      <c r="W211" s="182">
        <f t="shared" si="63"/>
        <v>49000</v>
      </c>
      <c r="X211" s="178">
        <v>5000</v>
      </c>
      <c r="Y211" s="182">
        <f t="shared" si="64"/>
        <v>44000</v>
      </c>
      <c r="Z211" s="183"/>
      <c r="AA211" s="158"/>
      <c r="AB211" s="158"/>
      <c r="AC211" s="158"/>
    </row>
    <row r="212" spans="1:29" ht="18" customHeight="1" x14ac:dyDescent="0.2">
      <c r="A212" s="163"/>
      <c r="B212" s="204" t="s">
        <v>114</v>
      </c>
      <c r="C212" s="195">
        <f>IF($J$1="January",R204,IF($J$1="February",R205,IF($J$1="March",R206,IF($J$1="April",R207,IF($J$1="May",R208,IF($J$1="June",R209,IF($J$1="July",R210,IF($J$1="August",R211,IF($J$1="August",R211,IF($J$1="September",R212,IF($J$1="October",R213,IF($J$1="November",R214,IF($J$1="December",R215)))))))))))))</f>
        <v>10</v>
      </c>
      <c r="D212" s="149"/>
      <c r="E212" s="149"/>
      <c r="F212" s="204" t="s">
        <v>115</v>
      </c>
      <c r="G212" s="190">
        <f>IF($J$1="January",Y204,IF($J$1="February",Y205,IF($J$1="March",Y206,IF($J$1="April",Y207,IF($J$1="May",Y208,IF($J$1="June",Y209,IF($J$1="July",Y210,IF($J$1="August",Y211,IF($J$1="August",Y211,IF($J$1="September",Y212,IF($J$1="October",Y213,IF($J$1="November",Y214,IF($J$1="December",Y215)))))))))))))</f>
        <v>39000</v>
      </c>
      <c r="H212" s="149"/>
      <c r="I212" s="529" t="s">
        <v>13</v>
      </c>
      <c r="J212" s="503"/>
      <c r="K212" s="37">
        <f>K210-K211</f>
        <v>38604.166666666672</v>
      </c>
      <c r="L212" s="180"/>
      <c r="M212" s="158"/>
      <c r="N212" s="175"/>
      <c r="O212" s="176" t="s">
        <v>116</v>
      </c>
      <c r="P212" s="176">
        <v>30</v>
      </c>
      <c r="Q212" s="176">
        <v>0</v>
      </c>
      <c r="R212" s="176">
        <f t="shared" si="61"/>
        <v>10</v>
      </c>
      <c r="S212" s="156"/>
      <c r="T212" s="176" t="s">
        <v>116</v>
      </c>
      <c r="U212" s="182">
        <f>Y211</f>
        <v>44000</v>
      </c>
      <c r="V212" s="178"/>
      <c r="W212" s="182">
        <f t="shared" si="63"/>
        <v>44000</v>
      </c>
      <c r="X212" s="178">
        <v>5000</v>
      </c>
      <c r="Y212" s="182">
        <f t="shared" si="64"/>
        <v>39000</v>
      </c>
      <c r="Z212" s="183"/>
      <c r="AA212" s="158"/>
      <c r="AB212" s="158"/>
      <c r="AC212" s="158"/>
    </row>
    <row r="213" spans="1:29" ht="18" customHeight="1" x14ac:dyDescent="0.2">
      <c r="A213" s="163"/>
      <c r="B213" s="149"/>
      <c r="C213" s="149"/>
      <c r="D213" s="149"/>
      <c r="E213" s="149"/>
      <c r="F213" s="149"/>
      <c r="G213" s="149"/>
      <c r="H213" s="149"/>
      <c r="I213" s="530"/>
      <c r="J213" s="531"/>
      <c r="K213" s="151"/>
      <c r="L213" s="186"/>
      <c r="M213" s="158"/>
      <c r="N213" s="175"/>
      <c r="O213" s="176" t="s">
        <v>117</v>
      </c>
      <c r="P213" s="176"/>
      <c r="Q213" s="176"/>
      <c r="R213" s="176">
        <v>0</v>
      </c>
      <c r="S213" s="156"/>
      <c r="T213" s="176" t="s">
        <v>117</v>
      </c>
      <c r="U213" s="182"/>
      <c r="V213" s="178"/>
      <c r="W213" s="182" t="str">
        <f t="shared" si="63"/>
        <v/>
      </c>
      <c r="X213" s="178"/>
      <c r="Y213" s="182" t="str">
        <f t="shared" si="64"/>
        <v/>
      </c>
      <c r="Z213" s="183"/>
      <c r="AA213" s="158"/>
      <c r="AB213" s="158"/>
      <c r="AC213" s="158"/>
    </row>
    <row r="214" spans="1:29" ht="18" customHeight="1" x14ac:dyDescent="0.3">
      <c r="A214" s="163"/>
      <c r="B214" s="147"/>
      <c r="C214" s="147"/>
      <c r="D214" s="147"/>
      <c r="E214" s="147"/>
      <c r="F214" s="208"/>
      <c r="G214" s="147"/>
      <c r="H214" s="147"/>
      <c r="I214" s="530"/>
      <c r="J214" s="531"/>
      <c r="K214" s="151"/>
      <c r="L214" s="186"/>
      <c r="M214" s="158"/>
      <c r="N214" s="175"/>
      <c r="O214" s="176" t="s">
        <v>118</v>
      </c>
      <c r="P214" s="176"/>
      <c r="Q214" s="176"/>
      <c r="R214" s="176">
        <v>0</v>
      </c>
      <c r="S214" s="156"/>
      <c r="T214" s="176" t="s">
        <v>118</v>
      </c>
      <c r="U214" s="182"/>
      <c r="V214" s="178"/>
      <c r="W214" s="182" t="str">
        <f t="shared" si="63"/>
        <v/>
      </c>
      <c r="X214" s="178"/>
      <c r="Y214" s="182" t="str">
        <f t="shared" si="64"/>
        <v/>
      </c>
      <c r="Z214" s="183"/>
      <c r="AA214" s="158"/>
      <c r="AB214" s="158"/>
      <c r="AC214" s="158"/>
    </row>
    <row r="215" spans="1:29" ht="18" customHeight="1" thickBot="1" x14ac:dyDescent="0.35">
      <c r="A215" s="197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9"/>
      <c r="M215" s="158"/>
      <c r="N215" s="175"/>
      <c r="O215" s="176" t="s">
        <v>119</v>
      </c>
      <c r="P215" s="176"/>
      <c r="Q215" s="176"/>
      <c r="R215" s="176">
        <v>0</v>
      </c>
      <c r="S215" s="156"/>
      <c r="T215" s="176" t="s">
        <v>119</v>
      </c>
      <c r="U215" s="182"/>
      <c r="V215" s="178"/>
      <c r="W215" s="182" t="str">
        <f t="shared" si="63"/>
        <v/>
      </c>
      <c r="X215" s="178"/>
      <c r="Y215" s="182" t="str">
        <f t="shared" si="64"/>
        <v/>
      </c>
      <c r="Z215" s="183"/>
      <c r="AA215" s="158"/>
      <c r="AB215" s="158"/>
      <c r="AC215" s="158"/>
    </row>
    <row r="216" spans="1:29" ht="18" customHeight="1" thickBot="1" x14ac:dyDescent="0.25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1"/>
      <c r="N216" s="202"/>
      <c r="O216" s="202"/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1"/>
      <c r="AB216" s="201"/>
      <c r="AC216" s="201"/>
    </row>
    <row r="217" spans="1:29" ht="18" customHeight="1" thickBot="1" x14ac:dyDescent="0.25">
      <c r="A217" s="532" t="s">
        <v>87</v>
      </c>
      <c r="B217" s="533"/>
      <c r="C217" s="533"/>
      <c r="D217" s="533"/>
      <c r="E217" s="533"/>
      <c r="F217" s="533"/>
      <c r="G217" s="533"/>
      <c r="H217" s="533"/>
      <c r="I217" s="533"/>
      <c r="J217" s="533"/>
      <c r="K217" s="533"/>
      <c r="L217" s="534"/>
      <c r="M217" s="159"/>
      <c r="N217" s="160"/>
      <c r="O217" s="524" t="s">
        <v>88</v>
      </c>
      <c r="P217" s="525"/>
      <c r="Q217" s="525"/>
      <c r="R217" s="526"/>
      <c r="S217" s="161"/>
      <c r="T217" s="524" t="s">
        <v>89</v>
      </c>
      <c r="U217" s="525"/>
      <c r="V217" s="525"/>
      <c r="W217" s="525"/>
      <c r="X217" s="525"/>
      <c r="Y217" s="526"/>
      <c r="Z217" s="162"/>
      <c r="AA217" s="159"/>
      <c r="AB217" s="158"/>
      <c r="AC217" s="158"/>
    </row>
    <row r="218" spans="1:29" ht="18" customHeight="1" x14ac:dyDescent="0.2">
      <c r="A218" s="163"/>
      <c r="B218" s="149"/>
      <c r="C218" s="535" t="s">
        <v>90</v>
      </c>
      <c r="D218" s="531"/>
      <c r="E218" s="531"/>
      <c r="F218" s="531"/>
      <c r="G218" s="164" t="str">
        <f>$J$1</f>
        <v>September</v>
      </c>
      <c r="H218" s="536">
        <f>$K$1</f>
        <v>2024</v>
      </c>
      <c r="I218" s="531"/>
      <c r="J218" s="149"/>
      <c r="K218" s="165"/>
      <c r="L218" s="166"/>
      <c r="M218" s="167"/>
      <c r="N218" s="168"/>
      <c r="O218" s="169" t="s">
        <v>91</v>
      </c>
      <c r="P218" s="169" t="s">
        <v>92</v>
      </c>
      <c r="Q218" s="169" t="s">
        <v>93</v>
      </c>
      <c r="R218" s="169" t="s">
        <v>94</v>
      </c>
      <c r="S218" s="170"/>
      <c r="T218" s="169" t="s">
        <v>91</v>
      </c>
      <c r="U218" s="169" t="s">
        <v>95</v>
      </c>
      <c r="V218" s="169" t="s">
        <v>9</v>
      </c>
      <c r="W218" s="169" t="s">
        <v>10</v>
      </c>
      <c r="X218" s="169" t="s">
        <v>11</v>
      </c>
      <c r="Y218" s="169" t="s">
        <v>96</v>
      </c>
      <c r="Z218" s="171"/>
      <c r="AA218" s="167"/>
      <c r="AB218" s="158"/>
      <c r="AC218" s="158"/>
    </row>
    <row r="219" spans="1:29" ht="18" customHeight="1" x14ac:dyDescent="0.2">
      <c r="A219" s="163"/>
      <c r="B219" s="149"/>
      <c r="C219" s="149"/>
      <c r="D219" s="172"/>
      <c r="E219" s="172"/>
      <c r="F219" s="172"/>
      <c r="G219" s="172"/>
      <c r="H219" s="172"/>
      <c r="I219" s="149"/>
      <c r="J219" s="173" t="s">
        <v>97</v>
      </c>
      <c r="K219" s="151">
        <v>45000</v>
      </c>
      <c r="L219" s="174"/>
      <c r="M219" s="158"/>
      <c r="N219" s="175"/>
      <c r="O219" s="176" t="s">
        <v>98</v>
      </c>
      <c r="P219" s="176"/>
      <c r="Q219" s="176">
        <v>0</v>
      </c>
      <c r="R219" s="176"/>
      <c r="S219" s="177"/>
      <c r="T219" s="176" t="s">
        <v>98</v>
      </c>
      <c r="U219" s="178"/>
      <c r="V219" s="178"/>
      <c r="W219" s="178">
        <f>V219+U219</f>
        <v>0</v>
      </c>
      <c r="X219" s="178"/>
      <c r="Y219" s="178">
        <f>W219-X219</f>
        <v>0</v>
      </c>
      <c r="Z219" s="171"/>
      <c r="AA219" s="158"/>
      <c r="AB219" s="158"/>
      <c r="AC219" s="158"/>
    </row>
    <row r="220" spans="1:29" ht="18" customHeight="1" x14ac:dyDescent="0.2">
      <c r="A220" s="163"/>
      <c r="B220" s="149" t="s">
        <v>99</v>
      </c>
      <c r="C220" s="148" t="s">
        <v>326</v>
      </c>
      <c r="D220" s="149"/>
      <c r="E220" s="149"/>
      <c r="F220" s="149"/>
      <c r="G220" s="172"/>
      <c r="H220" s="179"/>
      <c r="I220" s="172"/>
      <c r="J220" s="149"/>
      <c r="K220" s="149"/>
      <c r="L220" s="180"/>
      <c r="M220" s="159"/>
      <c r="N220" s="181"/>
      <c r="O220" s="176" t="s">
        <v>100</v>
      </c>
      <c r="P220" s="176"/>
      <c r="Q220" s="176">
        <v>0</v>
      </c>
      <c r="R220" s="176">
        <f t="shared" ref="R220:R230" si="66">IF(Q220="","",R219-Q220)</f>
        <v>0</v>
      </c>
      <c r="S220" s="156"/>
      <c r="T220" s="176" t="s">
        <v>100</v>
      </c>
      <c r="U220" s="182">
        <f t="shared" ref="U220:U227" si="67">Y219</f>
        <v>0</v>
      </c>
      <c r="V220" s="178"/>
      <c r="W220" s="182">
        <f t="shared" ref="W220:W230" si="68">IF(U220="","",U220+V220)</f>
        <v>0</v>
      </c>
      <c r="X220" s="178"/>
      <c r="Y220" s="182">
        <f t="shared" ref="Y220:Y230" si="69">IF(W220="","",W220-X220)</f>
        <v>0</v>
      </c>
      <c r="Z220" s="183"/>
      <c r="AA220" s="159"/>
      <c r="AB220" s="158"/>
      <c r="AC220" s="158"/>
    </row>
    <row r="221" spans="1:29" ht="18" customHeight="1" x14ac:dyDescent="0.2">
      <c r="A221" s="163"/>
      <c r="B221" s="184" t="s">
        <v>101</v>
      </c>
      <c r="C221" s="185"/>
      <c r="D221" s="149"/>
      <c r="E221" s="149"/>
      <c r="F221" s="529" t="s">
        <v>89</v>
      </c>
      <c r="G221" s="503"/>
      <c r="H221" s="149"/>
      <c r="I221" s="529" t="s">
        <v>102</v>
      </c>
      <c r="J221" s="502"/>
      <c r="K221" s="503"/>
      <c r="L221" s="186"/>
      <c r="M221" s="158"/>
      <c r="N221" s="175"/>
      <c r="O221" s="176" t="s">
        <v>103</v>
      </c>
      <c r="P221" s="176"/>
      <c r="Q221" s="176">
        <v>0</v>
      </c>
      <c r="R221" s="176">
        <f t="shared" si="66"/>
        <v>0</v>
      </c>
      <c r="S221" s="156"/>
      <c r="T221" s="176" t="s">
        <v>103</v>
      </c>
      <c r="U221" s="182">
        <f t="shared" si="67"/>
        <v>0</v>
      </c>
      <c r="V221" s="178"/>
      <c r="W221" s="182">
        <f t="shared" si="68"/>
        <v>0</v>
      </c>
      <c r="X221" s="178"/>
      <c r="Y221" s="182">
        <f t="shared" si="69"/>
        <v>0</v>
      </c>
      <c r="Z221" s="183"/>
      <c r="AA221" s="158"/>
      <c r="AB221" s="158"/>
      <c r="AC221" s="158"/>
    </row>
    <row r="222" spans="1:29" ht="18" customHeight="1" x14ac:dyDescent="0.2">
      <c r="A222" s="163"/>
      <c r="B222" s="149"/>
      <c r="C222" s="149"/>
      <c r="D222" s="149"/>
      <c r="E222" s="149"/>
      <c r="F222" s="149"/>
      <c r="G222" s="149"/>
      <c r="H222" s="187"/>
      <c r="I222" s="149"/>
      <c r="J222" s="149"/>
      <c r="K222" s="149"/>
      <c r="L222" s="188"/>
      <c r="M222" s="158"/>
      <c r="N222" s="175"/>
      <c r="O222" s="176" t="s">
        <v>104</v>
      </c>
      <c r="P222" s="176"/>
      <c r="Q222" s="176">
        <v>0</v>
      </c>
      <c r="R222" s="176">
        <f t="shared" si="66"/>
        <v>0</v>
      </c>
      <c r="S222" s="156"/>
      <c r="T222" s="176" t="s">
        <v>104</v>
      </c>
      <c r="U222" s="182">
        <f t="shared" si="67"/>
        <v>0</v>
      </c>
      <c r="V222" s="178"/>
      <c r="W222" s="182">
        <f t="shared" si="68"/>
        <v>0</v>
      </c>
      <c r="X222" s="178"/>
      <c r="Y222" s="182">
        <f t="shared" si="69"/>
        <v>0</v>
      </c>
      <c r="Z222" s="183"/>
      <c r="AA222" s="158"/>
      <c r="AB222" s="206">
        <f>K227+K1066</f>
        <v>47708.333333333336</v>
      </c>
      <c r="AC222" s="158"/>
    </row>
    <row r="223" spans="1:29" ht="18" customHeight="1" x14ac:dyDescent="0.2">
      <c r="A223" s="163"/>
      <c r="B223" s="527" t="s">
        <v>88</v>
      </c>
      <c r="C223" s="503"/>
      <c r="D223" s="149"/>
      <c r="E223" s="149"/>
      <c r="F223" s="189" t="s">
        <v>105</v>
      </c>
      <c r="G223" s="190">
        <f>IF($J$1="January",U219,IF($J$1="February",U220,IF($J$1="March",U221,IF($J$1="April",U222,IF($J$1="May",U223,IF($J$1="June",U224,IF($J$1="July",U225,IF($J$1="August",U226,IF($J$1="August",U226,IF($J$1="September",U227,IF($J$1="October",U228,IF($J$1="November",U229,IF($J$1="December",U230)))))))))))))</f>
        <v>0</v>
      </c>
      <c r="H223" s="187"/>
      <c r="I223" s="191">
        <f>IF(C227&gt;0,$K$2,C225)</f>
        <v>30</v>
      </c>
      <c r="J223" s="192" t="s">
        <v>106</v>
      </c>
      <c r="K223" s="193">
        <f>K219/$K$2*I223</f>
        <v>45000</v>
      </c>
      <c r="L223" s="194"/>
      <c r="M223" s="158"/>
      <c r="N223" s="175"/>
      <c r="O223" s="176" t="s">
        <v>107</v>
      </c>
      <c r="P223" s="176"/>
      <c r="Q223" s="176">
        <v>0</v>
      </c>
      <c r="R223" s="176">
        <f t="shared" si="66"/>
        <v>0</v>
      </c>
      <c r="S223" s="156"/>
      <c r="T223" s="176" t="s">
        <v>107</v>
      </c>
      <c r="U223" s="182">
        <f t="shared" si="67"/>
        <v>0</v>
      </c>
      <c r="V223" s="178"/>
      <c r="W223" s="182">
        <f t="shared" si="68"/>
        <v>0</v>
      </c>
      <c r="X223" s="178"/>
      <c r="Y223" s="182">
        <f t="shared" si="69"/>
        <v>0</v>
      </c>
      <c r="Z223" s="183"/>
      <c r="AA223" s="158"/>
      <c r="AB223" s="158"/>
      <c r="AC223" s="158"/>
    </row>
    <row r="224" spans="1:29" ht="18" customHeight="1" x14ac:dyDescent="0.2">
      <c r="A224" s="163"/>
      <c r="B224" s="195"/>
      <c r="C224" s="195"/>
      <c r="D224" s="149"/>
      <c r="E224" s="149"/>
      <c r="F224" s="189" t="s">
        <v>9</v>
      </c>
      <c r="G224" s="190">
        <f>IF($J$1="January",V219,IF($J$1="February",V220,IF($J$1="March",V221,IF($J$1="April",V222,IF($J$1="May",V223,IF($J$1="June",V224,IF($J$1="July",V225,IF($J$1="August",V226,IF($J$1="August",V226,IF($J$1="September",V227,IF($J$1="October",V228,IF($J$1="November",V229,IF($J$1="December",V230)))))))))))))</f>
        <v>10000</v>
      </c>
      <c r="H224" s="187"/>
      <c r="I224" s="191">
        <v>66</v>
      </c>
      <c r="J224" s="192" t="s">
        <v>108</v>
      </c>
      <c r="K224" s="190">
        <f>K219/$K$2/8*I224</f>
        <v>12375</v>
      </c>
      <c r="L224" s="196"/>
      <c r="M224" s="158"/>
      <c r="N224" s="175"/>
      <c r="O224" s="176" t="s">
        <v>84</v>
      </c>
      <c r="P224" s="176"/>
      <c r="Q224" s="176">
        <v>0</v>
      </c>
      <c r="R224" s="176">
        <f t="shared" si="66"/>
        <v>0</v>
      </c>
      <c r="S224" s="156"/>
      <c r="T224" s="176" t="s">
        <v>84</v>
      </c>
      <c r="U224" s="182">
        <f t="shared" si="67"/>
        <v>0</v>
      </c>
      <c r="V224" s="178"/>
      <c r="W224" s="182">
        <f t="shared" si="68"/>
        <v>0</v>
      </c>
      <c r="X224" s="178"/>
      <c r="Y224" s="182">
        <f t="shared" si="69"/>
        <v>0</v>
      </c>
      <c r="Z224" s="183"/>
      <c r="AA224" s="158"/>
      <c r="AB224" s="158"/>
      <c r="AC224" s="158"/>
    </row>
    <row r="225" spans="1:29" ht="18" customHeight="1" x14ac:dyDescent="0.2">
      <c r="A225" s="163"/>
      <c r="B225" s="189" t="s">
        <v>92</v>
      </c>
      <c r="C225" s="195">
        <f>IF($J$1="January",P219,IF($J$1="February",P220,IF($J$1="March",P221,IF($J$1="April",P222,IF($J$1="May",P223,IF($J$1="June",P224,IF($J$1="July",P225,IF($J$1="August",P226,IF($J$1="August",P226,IF($J$1="September",P227,IF($J$1="October",P228,IF($J$1="November",P229,IF($J$1="December",P230)))))))))))))</f>
        <v>30</v>
      </c>
      <c r="D225" s="149"/>
      <c r="E225" s="149"/>
      <c r="F225" s="189" t="s">
        <v>109</v>
      </c>
      <c r="G225" s="190">
        <f>IF($J$1="January",W219,IF($J$1="February",W220,IF($J$1="March",W221,IF($J$1="April",W222,IF($J$1="May",W223,IF($J$1="June",W224,IF($J$1="July",W225,IF($J$1="August",W226,IF($J$1="August",W226,IF($J$1="September",W227,IF($J$1="October",W228,IF($J$1="November",W229,IF($J$1="December",W230)))))))))))))</f>
        <v>10000</v>
      </c>
      <c r="H225" s="187"/>
      <c r="I225" s="528" t="s">
        <v>110</v>
      </c>
      <c r="J225" s="503"/>
      <c r="K225" s="190">
        <f>K223+K224</f>
        <v>57375</v>
      </c>
      <c r="L225" s="196"/>
      <c r="M225" s="158"/>
      <c r="N225" s="175"/>
      <c r="O225" s="176" t="s">
        <v>111</v>
      </c>
      <c r="P225" s="176"/>
      <c r="Q225" s="176">
        <v>0</v>
      </c>
      <c r="R225" s="176">
        <f t="shared" si="66"/>
        <v>0</v>
      </c>
      <c r="S225" s="156"/>
      <c r="T225" s="176" t="s">
        <v>111</v>
      </c>
      <c r="U225" s="182">
        <f t="shared" si="67"/>
        <v>0</v>
      </c>
      <c r="V225" s="178"/>
      <c r="W225" s="182">
        <f t="shared" si="68"/>
        <v>0</v>
      </c>
      <c r="X225" s="178"/>
      <c r="Y225" s="182">
        <f t="shared" si="69"/>
        <v>0</v>
      </c>
      <c r="Z225" s="183"/>
      <c r="AA225" s="158"/>
      <c r="AB225" s="158"/>
      <c r="AC225" s="158"/>
    </row>
    <row r="226" spans="1:29" ht="18" customHeight="1" x14ac:dyDescent="0.2">
      <c r="A226" s="163"/>
      <c r="B226" s="189" t="s">
        <v>93</v>
      </c>
      <c r="C226" s="195">
        <f>IF($J$1="January",Q219,IF($J$1="February",Q220,IF($J$1="March",Q221,IF($J$1="April",Q222,IF($J$1="May",Q223,IF($J$1="June",Q224,IF($J$1="July",Q225,IF($J$1="August",Q226,IF($J$1="August",Q226,IF($J$1="September",Q227,IF($J$1="October",Q228,IF($J$1="November",Q229,IF($J$1="December",Q230)))))))))))))</f>
        <v>0</v>
      </c>
      <c r="D226" s="149"/>
      <c r="E226" s="149"/>
      <c r="F226" s="189" t="s">
        <v>11</v>
      </c>
      <c r="G226" s="190">
        <f>IF($J$1="January",X219,IF($J$1="February",X220,IF($J$1="March",X221,IF($J$1="April",X222,IF($J$1="May",X223,IF($J$1="June",X224,IF($J$1="July",X225,IF($J$1="August",X226,IF($J$1="August",X226,IF($J$1="September",X227,IF($J$1="October",X228,IF($J$1="November",X229,IF($J$1="December",X230)))))))))))))</f>
        <v>10000</v>
      </c>
      <c r="H226" s="187"/>
      <c r="I226" s="528" t="s">
        <v>112</v>
      </c>
      <c r="J226" s="503"/>
      <c r="K226" s="190">
        <f>G226</f>
        <v>10000</v>
      </c>
      <c r="L226" s="196"/>
      <c r="M226" s="158"/>
      <c r="N226" s="175"/>
      <c r="O226" s="176" t="s">
        <v>113</v>
      </c>
      <c r="P226" s="176">
        <v>31</v>
      </c>
      <c r="Q226" s="176">
        <v>0</v>
      </c>
      <c r="R226" s="176">
        <f t="shared" si="66"/>
        <v>0</v>
      </c>
      <c r="S226" s="156"/>
      <c r="T226" s="176" t="s">
        <v>113</v>
      </c>
      <c r="U226" s="182">
        <f t="shared" si="67"/>
        <v>0</v>
      </c>
      <c r="V226" s="178">
        <v>20000</v>
      </c>
      <c r="W226" s="182">
        <f t="shared" si="68"/>
        <v>20000</v>
      </c>
      <c r="X226" s="178">
        <v>20000</v>
      </c>
      <c r="Y226" s="182">
        <f t="shared" si="69"/>
        <v>0</v>
      </c>
      <c r="Z226" s="183"/>
      <c r="AA226" s="158"/>
      <c r="AB226" s="158"/>
      <c r="AC226" s="158"/>
    </row>
    <row r="227" spans="1:29" ht="18" customHeight="1" x14ac:dyDescent="0.2">
      <c r="A227" s="163"/>
      <c r="B227" s="204" t="s">
        <v>114</v>
      </c>
      <c r="C227" s="195">
        <f>IF($J$1="January",R219,IF($J$1="February",R220,IF($J$1="March",R221,IF($J$1="April",R222,IF($J$1="May",R223,IF($J$1="June",R224,IF($J$1="July",R225,IF($J$1="August",R226,IF($J$1="August",R226,IF($J$1="September",R227,IF($J$1="October",R228,IF($J$1="November",R229,IF($J$1="December",R230)))))))))))))</f>
        <v>0</v>
      </c>
      <c r="D227" s="149"/>
      <c r="E227" s="149"/>
      <c r="F227" s="204" t="s">
        <v>115</v>
      </c>
      <c r="G227" s="190">
        <f>IF($J$1="January",Y219,IF($J$1="February",Y220,IF($J$1="March",Y221,IF($J$1="April",Y222,IF($J$1="May",Y223,IF($J$1="June",Y224,IF($J$1="July",Y225,IF($J$1="August",Y226,IF($J$1="August",Y226,IF($J$1="September",Y227,IF($J$1="October",Y228,IF($J$1="November",Y229,IF($J$1="December",Y230)))))))))))))</f>
        <v>0</v>
      </c>
      <c r="H227" s="149"/>
      <c r="I227" s="529" t="s">
        <v>13</v>
      </c>
      <c r="J227" s="503"/>
      <c r="K227" s="37">
        <f>K225-K226</f>
        <v>47375</v>
      </c>
      <c r="L227" s="180"/>
      <c r="M227" s="158"/>
      <c r="N227" s="175"/>
      <c r="O227" s="176" t="s">
        <v>116</v>
      </c>
      <c r="P227" s="176">
        <v>30</v>
      </c>
      <c r="Q227" s="176">
        <v>0</v>
      </c>
      <c r="R227" s="176">
        <f t="shared" si="66"/>
        <v>0</v>
      </c>
      <c r="S227" s="156"/>
      <c r="T227" s="176" t="s">
        <v>116</v>
      </c>
      <c r="U227" s="182">
        <f t="shared" si="67"/>
        <v>0</v>
      </c>
      <c r="V227" s="178">
        <v>10000</v>
      </c>
      <c r="W227" s="182">
        <f t="shared" si="68"/>
        <v>10000</v>
      </c>
      <c r="X227" s="178">
        <v>10000</v>
      </c>
      <c r="Y227" s="182">
        <f t="shared" si="69"/>
        <v>0</v>
      </c>
      <c r="Z227" s="183"/>
      <c r="AA227" s="158"/>
      <c r="AB227" s="158"/>
      <c r="AC227" s="158"/>
    </row>
    <row r="228" spans="1:29" ht="15" customHeight="1" x14ac:dyDescent="0.2">
      <c r="A228" s="163"/>
      <c r="B228" s="149"/>
      <c r="C228" s="149"/>
      <c r="D228" s="149"/>
      <c r="E228" s="149"/>
      <c r="F228" s="149"/>
      <c r="G228" s="149"/>
      <c r="H228" s="149"/>
      <c r="I228" s="530"/>
      <c r="J228" s="531"/>
      <c r="K228" s="151"/>
      <c r="L228" s="186"/>
      <c r="M228" s="158"/>
      <c r="N228" s="175"/>
      <c r="O228" s="176" t="s">
        <v>117</v>
      </c>
      <c r="P228" s="176"/>
      <c r="Q228" s="176"/>
      <c r="R228" s="176" t="str">
        <f t="shared" si="66"/>
        <v/>
      </c>
      <c r="S228" s="156"/>
      <c r="T228" s="176" t="s">
        <v>117</v>
      </c>
      <c r="U228" s="182"/>
      <c r="V228" s="178"/>
      <c r="W228" s="182" t="str">
        <f t="shared" si="68"/>
        <v/>
      </c>
      <c r="X228" s="178"/>
      <c r="Y228" s="182" t="str">
        <f t="shared" si="69"/>
        <v/>
      </c>
    </row>
    <row r="229" spans="1:29" ht="15" customHeight="1" x14ac:dyDescent="0.3">
      <c r="A229" s="163"/>
      <c r="B229" s="147"/>
      <c r="C229" s="147"/>
      <c r="D229" s="147"/>
      <c r="E229" s="147"/>
      <c r="F229" s="147"/>
      <c r="G229" s="147"/>
      <c r="H229" s="147"/>
      <c r="I229" s="530"/>
      <c r="J229" s="531"/>
      <c r="K229" s="151"/>
      <c r="L229" s="186"/>
      <c r="M229" s="158"/>
      <c r="N229" s="175"/>
      <c r="O229" s="176" t="s">
        <v>118</v>
      </c>
      <c r="P229" s="176"/>
      <c r="Q229" s="176"/>
      <c r="R229" s="176" t="str">
        <f t="shared" si="66"/>
        <v/>
      </c>
      <c r="S229" s="156"/>
      <c r="T229" s="176" t="s">
        <v>118</v>
      </c>
      <c r="U229" s="182"/>
      <c r="V229" s="178"/>
      <c r="W229" s="182" t="str">
        <f t="shared" si="68"/>
        <v/>
      </c>
      <c r="X229" s="178"/>
      <c r="Y229" s="182" t="str">
        <f t="shared" si="69"/>
        <v/>
      </c>
    </row>
    <row r="230" spans="1:29" ht="15" customHeight="1" thickBot="1" x14ac:dyDescent="0.35">
      <c r="A230" s="197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9"/>
      <c r="M230" s="158"/>
      <c r="N230" s="175"/>
      <c r="O230" s="176" t="s">
        <v>119</v>
      </c>
      <c r="P230" s="176"/>
      <c r="Q230" s="176"/>
      <c r="R230" s="176" t="str">
        <f t="shared" si="66"/>
        <v/>
      </c>
      <c r="S230" s="156"/>
      <c r="T230" s="176" t="s">
        <v>119</v>
      </c>
      <c r="U230" s="182"/>
      <c r="V230" s="178"/>
      <c r="W230" s="182" t="str">
        <f t="shared" si="68"/>
        <v/>
      </c>
      <c r="X230" s="178"/>
      <c r="Y230" s="182" t="str">
        <f t="shared" si="69"/>
        <v/>
      </c>
    </row>
    <row r="231" spans="1:29" ht="18" customHeight="1" thickBot="1" x14ac:dyDescent="0.25">
      <c r="A231" s="532" t="s">
        <v>87</v>
      </c>
      <c r="B231" s="533"/>
      <c r="C231" s="533"/>
      <c r="D231" s="533"/>
      <c r="E231" s="533"/>
      <c r="F231" s="533"/>
      <c r="G231" s="533"/>
      <c r="H231" s="533"/>
      <c r="I231" s="533"/>
      <c r="J231" s="533"/>
      <c r="K231" s="533"/>
      <c r="L231" s="534"/>
      <c r="M231" s="159"/>
      <c r="N231" s="160"/>
      <c r="O231" s="524" t="s">
        <v>88</v>
      </c>
      <c r="P231" s="525"/>
      <c r="Q231" s="525"/>
      <c r="R231" s="526"/>
      <c r="S231" s="161"/>
      <c r="T231" s="524" t="s">
        <v>89</v>
      </c>
      <c r="U231" s="525"/>
      <c r="V231" s="525"/>
      <c r="W231" s="525"/>
      <c r="X231" s="525"/>
      <c r="Y231" s="526"/>
      <c r="Z231" s="162"/>
      <c r="AA231" s="158"/>
      <c r="AB231" s="158"/>
      <c r="AC231" s="158"/>
    </row>
    <row r="232" spans="1:29" ht="18" customHeight="1" x14ac:dyDescent="0.2">
      <c r="A232" s="163"/>
      <c r="B232" s="149"/>
      <c r="C232" s="535" t="s">
        <v>145</v>
      </c>
      <c r="D232" s="531"/>
      <c r="E232" s="531"/>
      <c r="F232" s="531"/>
      <c r="G232" s="164" t="str">
        <f>$J$1</f>
        <v>September</v>
      </c>
      <c r="H232" s="536">
        <f>$K$1</f>
        <v>2024</v>
      </c>
      <c r="I232" s="531"/>
      <c r="J232" s="149"/>
      <c r="K232" s="165"/>
      <c r="L232" s="166"/>
      <c r="M232" s="167"/>
      <c r="N232" s="168"/>
      <c r="O232" s="169" t="s">
        <v>91</v>
      </c>
      <c r="P232" s="169" t="s">
        <v>92</v>
      </c>
      <c r="Q232" s="169" t="s">
        <v>93</v>
      </c>
      <c r="R232" s="169" t="s">
        <v>94</v>
      </c>
      <c r="S232" s="170"/>
      <c r="T232" s="169" t="s">
        <v>91</v>
      </c>
      <c r="U232" s="169" t="s">
        <v>95</v>
      </c>
      <c r="V232" s="169" t="s">
        <v>9</v>
      </c>
      <c r="W232" s="169" t="s">
        <v>10</v>
      </c>
      <c r="X232" s="169" t="s">
        <v>11</v>
      </c>
      <c r="Y232" s="169" t="s">
        <v>96</v>
      </c>
      <c r="Z232" s="171"/>
      <c r="AA232" s="158"/>
      <c r="AB232" s="158"/>
      <c r="AC232" s="158"/>
    </row>
    <row r="233" spans="1:29" ht="18" customHeight="1" x14ac:dyDescent="0.2">
      <c r="A233" s="163"/>
      <c r="B233" s="149"/>
      <c r="C233" s="149"/>
      <c r="D233" s="172"/>
      <c r="E233" s="172"/>
      <c r="F233" s="172"/>
      <c r="G233" s="172"/>
      <c r="H233" s="172"/>
      <c r="I233" s="149"/>
      <c r="J233" s="173" t="s">
        <v>97</v>
      </c>
      <c r="K233" s="151">
        <f>22000+2000+2000+4000</f>
        <v>30000</v>
      </c>
      <c r="L233" s="174"/>
      <c r="M233" s="158"/>
      <c r="N233" s="175"/>
      <c r="O233" s="176" t="s">
        <v>98</v>
      </c>
      <c r="P233" s="176">
        <v>29</v>
      </c>
      <c r="Q233" s="176">
        <v>2</v>
      </c>
      <c r="R233" s="176">
        <f>15-Q233</f>
        <v>13</v>
      </c>
      <c r="S233" s="177"/>
      <c r="T233" s="176" t="s">
        <v>98</v>
      </c>
      <c r="U233" s="178">
        <v>11225</v>
      </c>
      <c r="V233" s="178">
        <f>2000+3000</f>
        <v>5000</v>
      </c>
      <c r="W233" s="178">
        <f>V233+U233</f>
        <v>16225</v>
      </c>
      <c r="X233" s="178">
        <v>5000</v>
      </c>
      <c r="Y233" s="178">
        <f>W233-X233</f>
        <v>11225</v>
      </c>
      <c r="Z233" s="171"/>
      <c r="AA233" s="158"/>
      <c r="AB233" s="158"/>
      <c r="AC233" s="158"/>
    </row>
    <row r="234" spans="1:29" ht="18" customHeight="1" x14ac:dyDescent="0.2">
      <c r="A234" s="163"/>
      <c r="B234" s="149" t="s">
        <v>99</v>
      </c>
      <c r="C234" s="148" t="s">
        <v>146</v>
      </c>
      <c r="D234" s="149"/>
      <c r="E234" s="149"/>
      <c r="F234" s="149"/>
      <c r="G234" s="149"/>
      <c r="H234" s="179"/>
      <c r="I234" s="172"/>
      <c r="J234" s="149"/>
      <c r="K234" s="149"/>
      <c r="L234" s="180"/>
      <c r="M234" s="159"/>
      <c r="N234" s="181"/>
      <c r="O234" s="176" t="s">
        <v>100</v>
      </c>
      <c r="P234" s="176">
        <v>29</v>
      </c>
      <c r="Q234" s="176">
        <v>0</v>
      </c>
      <c r="R234" s="176">
        <f t="shared" ref="R234:R238" si="70">IF(Q234="","",R233-Q234)</f>
        <v>13</v>
      </c>
      <c r="S234" s="156"/>
      <c r="T234" s="176" t="s">
        <v>100</v>
      </c>
      <c r="U234" s="182">
        <f t="shared" ref="U234:U235" si="71">Y233</f>
        <v>11225</v>
      </c>
      <c r="V234" s="178">
        <f>2000+1000+5000</f>
        <v>8000</v>
      </c>
      <c r="W234" s="182">
        <f t="shared" ref="W234:W244" si="72">IF(U234="","",U234+V234)</f>
        <v>19225</v>
      </c>
      <c r="X234" s="178">
        <v>8000</v>
      </c>
      <c r="Y234" s="182">
        <f t="shared" ref="Y234:Y244" si="73">IF(W234="","",W234-X234)</f>
        <v>11225</v>
      </c>
      <c r="Z234" s="183"/>
      <c r="AA234" s="158"/>
      <c r="AB234" s="158"/>
      <c r="AC234" s="158"/>
    </row>
    <row r="235" spans="1:29" ht="18" customHeight="1" x14ac:dyDescent="0.2">
      <c r="A235" s="163"/>
      <c r="B235" s="184" t="s">
        <v>101</v>
      </c>
      <c r="C235" s="185"/>
      <c r="D235" s="149"/>
      <c r="E235" s="149"/>
      <c r="F235" s="529" t="s">
        <v>89</v>
      </c>
      <c r="G235" s="503"/>
      <c r="H235" s="149"/>
      <c r="I235" s="529" t="s">
        <v>102</v>
      </c>
      <c r="J235" s="502"/>
      <c r="K235" s="503"/>
      <c r="L235" s="186"/>
      <c r="M235" s="158"/>
      <c r="N235" s="175"/>
      <c r="O235" s="176" t="s">
        <v>103</v>
      </c>
      <c r="P235" s="176">
        <v>31</v>
      </c>
      <c r="Q235" s="176">
        <v>0</v>
      </c>
      <c r="R235" s="176">
        <f t="shared" si="70"/>
        <v>13</v>
      </c>
      <c r="S235" s="156"/>
      <c r="T235" s="176" t="s">
        <v>103</v>
      </c>
      <c r="U235" s="182">
        <f t="shared" si="71"/>
        <v>11225</v>
      </c>
      <c r="V235" s="178">
        <v>3000</v>
      </c>
      <c r="W235" s="182">
        <f t="shared" si="72"/>
        <v>14225</v>
      </c>
      <c r="X235" s="178">
        <v>5000</v>
      </c>
      <c r="Y235" s="182">
        <f t="shared" si="73"/>
        <v>9225</v>
      </c>
      <c r="Z235" s="183"/>
      <c r="AA235" s="158"/>
      <c r="AB235" s="158"/>
      <c r="AC235" s="158"/>
    </row>
    <row r="236" spans="1:29" ht="18" customHeight="1" x14ac:dyDescent="0.2">
      <c r="A236" s="163"/>
      <c r="B236" s="149"/>
      <c r="C236" s="149"/>
      <c r="D236" s="149"/>
      <c r="E236" s="149"/>
      <c r="F236" s="149"/>
      <c r="G236" s="149"/>
      <c r="H236" s="187"/>
      <c r="I236" s="149"/>
      <c r="J236" s="149"/>
      <c r="K236" s="149"/>
      <c r="L236" s="188"/>
      <c r="M236" s="158"/>
      <c r="N236" s="175"/>
      <c r="O236" s="176" t="s">
        <v>104</v>
      </c>
      <c r="P236" s="176">
        <v>30</v>
      </c>
      <c r="Q236" s="176">
        <v>0</v>
      </c>
      <c r="R236" s="176">
        <f t="shared" si="70"/>
        <v>13</v>
      </c>
      <c r="S236" s="156"/>
      <c r="T236" s="176" t="s">
        <v>104</v>
      </c>
      <c r="U236" s="182">
        <f>IF($J$1="March","",Y235)</f>
        <v>9225</v>
      </c>
      <c r="V236" s="178">
        <f>6000+3000</f>
        <v>9000</v>
      </c>
      <c r="W236" s="182">
        <f t="shared" si="72"/>
        <v>18225</v>
      </c>
      <c r="X236" s="178">
        <v>5000</v>
      </c>
      <c r="Y236" s="182">
        <f t="shared" si="73"/>
        <v>13225</v>
      </c>
      <c r="Z236" s="183"/>
      <c r="AA236" s="158"/>
      <c r="AB236" s="158"/>
      <c r="AC236" s="158"/>
    </row>
    <row r="237" spans="1:29" ht="18" customHeight="1" x14ac:dyDescent="0.2">
      <c r="A237" s="163"/>
      <c r="B237" s="527" t="s">
        <v>88</v>
      </c>
      <c r="C237" s="503"/>
      <c r="D237" s="149"/>
      <c r="E237" s="149"/>
      <c r="F237" s="189" t="s">
        <v>105</v>
      </c>
      <c r="G237" s="190">
        <f>IF($J$1="January",U233,IF($J$1="February",U234,IF($J$1="March",U235,IF($J$1="April",U236,IF($J$1="May",U237,IF($J$1="June",U238,IF($J$1="July",U239,IF($J$1="August",U240,IF($J$1="August",U240,IF($J$1="September",U241,IF($J$1="October",U242,IF($J$1="November",U243,IF($J$1="December",U244)))))))))))))</f>
        <v>19225</v>
      </c>
      <c r="H237" s="187"/>
      <c r="I237" s="191">
        <f>IF(C241&gt;=C240,$K$2,C239+C241)</f>
        <v>29</v>
      </c>
      <c r="J237" s="192" t="s">
        <v>106</v>
      </c>
      <c r="K237" s="193">
        <f>K233/$K$2*I237</f>
        <v>29000</v>
      </c>
      <c r="L237" s="194"/>
      <c r="M237" s="158"/>
      <c r="N237" s="175"/>
      <c r="O237" s="176" t="s">
        <v>107</v>
      </c>
      <c r="P237" s="176">
        <v>31</v>
      </c>
      <c r="Q237" s="176">
        <v>0</v>
      </c>
      <c r="R237" s="176">
        <f t="shared" si="70"/>
        <v>13</v>
      </c>
      <c r="S237" s="156"/>
      <c r="T237" s="176" t="s">
        <v>107</v>
      </c>
      <c r="U237" s="182">
        <f t="shared" ref="U237:U238" si="74">Y236</f>
        <v>13225</v>
      </c>
      <c r="V237" s="178">
        <f>3000+5000+2000</f>
        <v>10000</v>
      </c>
      <c r="W237" s="182">
        <f t="shared" si="72"/>
        <v>23225</v>
      </c>
      <c r="X237" s="178">
        <v>5000</v>
      </c>
      <c r="Y237" s="182">
        <f t="shared" si="73"/>
        <v>18225</v>
      </c>
      <c r="Z237" s="183"/>
      <c r="AA237" s="158"/>
      <c r="AB237" s="158"/>
      <c r="AC237" s="158"/>
    </row>
    <row r="238" spans="1:29" ht="18" customHeight="1" x14ac:dyDescent="0.2">
      <c r="A238" s="163"/>
      <c r="B238" s="195"/>
      <c r="C238" s="195"/>
      <c r="D238" s="149"/>
      <c r="E238" s="149"/>
      <c r="F238" s="189" t="s">
        <v>9</v>
      </c>
      <c r="G238" s="190">
        <f>IF($J$1="January",V233,IF($J$1="February",V234,IF($J$1="March",V235,IF($J$1="April",V236,IF($J$1="May",V237,IF($J$1="June",V238,IF($J$1="July",V239,IF($J$1="August",V240,IF($J$1="August",V240,IF($J$1="September",V241,IF($J$1="October",V242,IF($J$1="November",V243,IF($J$1="December",V244)))))))))))))</f>
        <v>21000</v>
      </c>
      <c r="H238" s="187"/>
      <c r="I238" s="191">
        <v>40</v>
      </c>
      <c r="J238" s="192" t="s">
        <v>108</v>
      </c>
      <c r="K238" s="190">
        <f>K233/$K$2/8*I238</f>
        <v>5000</v>
      </c>
      <c r="L238" s="196"/>
      <c r="M238" s="158"/>
      <c r="N238" s="175"/>
      <c r="O238" s="176" t="s">
        <v>84</v>
      </c>
      <c r="P238" s="176">
        <v>29</v>
      </c>
      <c r="Q238" s="176">
        <v>1</v>
      </c>
      <c r="R238" s="176">
        <f t="shared" si="70"/>
        <v>12</v>
      </c>
      <c r="S238" s="156"/>
      <c r="T238" s="176" t="s">
        <v>84</v>
      </c>
      <c r="U238" s="182">
        <f t="shared" si="74"/>
        <v>18225</v>
      </c>
      <c r="V238" s="178">
        <f>5000+5000</f>
        <v>10000</v>
      </c>
      <c r="W238" s="182">
        <f t="shared" si="72"/>
        <v>28225</v>
      </c>
      <c r="X238" s="178">
        <v>10000</v>
      </c>
      <c r="Y238" s="182">
        <f t="shared" si="73"/>
        <v>18225</v>
      </c>
      <c r="Z238" s="183"/>
      <c r="AA238" s="158"/>
      <c r="AB238" s="158"/>
      <c r="AC238" s="158"/>
    </row>
    <row r="239" spans="1:29" ht="18" customHeight="1" x14ac:dyDescent="0.2">
      <c r="A239" s="163"/>
      <c r="B239" s="189" t="s">
        <v>92</v>
      </c>
      <c r="C239" s="195">
        <f>IF($J$1="January",P233,IF($J$1="February",P234,IF($J$1="March",P235,IF($J$1="April",P236,IF($J$1="May",P237,IF($J$1="June",P238,IF($J$1="July",P239,IF($J$1="August",P240,IF($J$1="August",P240,IF($J$1="September",P241,IF($J$1="October",P242,IF($J$1="November",P243,IF($J$1="December",P244)))))))))))))</f>
        <v>29</v>
      </c>
      <c r="D239" s="149"/>
      <c r="E239" s="149"/>
      <c r="F239" s="189" t="s">
        <v>109</v>
      </c>
      <c r="G239" s="190">
        <f>IF($J$1="January",W233,IF($J$1="February",W234,IF($J$1="March",W235,IF($J$1="April",W236,IF($J$1="May",W237,IF($J$1="June",W238,IF($J$1="July",W239,IF($J$1="August",W240,IF($J$1="August",W240,IF($J$1="September",W241,IF($J$1="October",W242,IF($J$1="November",W243,IF($J$1="December",W244)))))))))))))</f>
        <v>40225</v>
      </c>
      <c r="H239" s="187"/>
      <c r="I239" s="528" t="s">
        <v>110</v>
      </c>
      <c r="J239" s="503"/>
      <c r="K239" s="190">
        <f>K237+K238</f>
        <v>34000</v>
      </c>
      <c r="L239" s="196"/>
      <c r="M239" s="158"/>
      <c r="N239" s="175"/>
      <c r="O239" s="176" t="s">
        <v>111</v>
      </c>
      <c r="P239" s="176">
        <v>31</v>
      </c>
      <c r="Q239" s="176">
        <v>0</v>
      </c>
      <c r="R239" s="176">
        <v>0</v>
      </c>
      <c r="S239" s="156"/>
      <c r="T239" s="176" t="s">
        <v>111</v>
      </c>
      <c r="U239" s="182">
        <f>Y238</f>
        <v>18225</v>
      </c>
      <c r="V239" s="178">
        <f>5000+5000+1000</f>
        <v>11000</v>
      </c>
      <c r="W239" s="182">
        <f t="shared" si="72"/>
        <v>29225</v>
      </c>
      <c r="X239" s="178">
        <v>10000</v>
      </c>
      <c r="Y239" s="182">
        <f t="shared" si="73"/>
        <v>19225</v>
      </c>
      <c r="Z239" s="183"/>
      <c r="AA239" s="158"/>
      <c r="AB239" s="158"/>
      <c r="AC239" s="158"/>
    </row>
    <row r="240" spans="1:29" ht="18" customHeight="1" x14ac:dyDescent="0.2">
      <c r="A240" s="163"/>
      <c r="B240" s="189" t="s">
        <v>93</v>
      </c>
      <c r="C240" s="195">
        <f>IF($J$1="January",Q233,IF($J$1="February",Q234,IF($J$1="March",Q235,IF($J$1="April",Q236,IF($J$1="May",Q237,IF($J$1="June",Q238,IF($J$1="July",Q239,IF($J$1="August",Q240,IF($J$1="August",Q240,IF($J$1="September",Q241,IF($J$1="October",Q242,IF($J$1="November",Q243,IF($J$1="December",Q244)))))))))))))</f>
        <v>1</v>
      </c>
      <c r="D240" s="149"/>
      <c r="E240" s="149"/>
      <c r="F240" s="189" t="s">
        <v>11</v>
      </c>
      <c r="G240" s="190">
        <f>IF($J$1="January",X233,IF($J$1="February",X234,IF($J$1="March",X235,IF($J$1="April",X236,IF($J$1="May",X237,IF($J$1="June",X238,IF($J$1="July",X239,IF($J$1="August",X240,IF($J$1="August",X240,IF($J$1="September",X241,IF($J$1="October",X242,IF($J$1="November",X243,IF($J$1="December",X244)))))))))))))</f>
        <v>5000</v>
      </c>
      <c r="H240" s="187"/>
      <c r="I240" s="528" t="s">
        <v>112</v>
      </c>
      <c r="J240" s="503"/>
      <c r="K240" s="190">
        <f>G240</f>
        <v>5000</v>
      </c>
      <c r="L240" s="196"/>
      <c r="M240" s="158"/>
      <c r="N240" s="175"/>
      <c r="O240" s="176" t="s">
        <v>113</v>
      </c>
      <c r="P240" s="176">
        <v>31</v>
      </c>
      <c r="Q240" s="176">
        <v>0</v>
      </c>
      <c r="R240" s="176">
        <v>0</v>
      </c>
      <c r="S240" s="156"/>
      <c r="T240" s="176" t="s">
        <v>113</v>
      </c>
      <c r="U240" s="182">
        <f>Y239</f>
        <v>19225</v>
      </c>
      <c r="V240" s="178">
        <v>10000</v>
      </c>
      <c r="W240" s="182">
        <f t="shared" si="72"/>
        <v>29225</v>
      </c>
      <c r="X240" s="178">
        <v>10000</v>
      </c>
      <c r="Y240" s="182">
        <f t="shared" si="73"/>
        <v>19225</v>
      </c>
      <c r="Z240" s="183"/>
      <c r="AA240" s="158"/>
      <c r="AB240" s="158"/>
      <c r="AC240" s="158"/>
    </row>
    <row r="241" spans="1:29" ht="18" customHeight="1" x14ac:dyDescent="0.2">
      <c r="A241" s="163"/>
      <c r="B241" s="204" t="s">
        <v>114</v>
      </c>
      <c r="C241" s="195">
        <f>IF($J$1="January",R233,IF($J$1="February",R234,IF($J$1="March",R235,IF($J$1="April",R236,IF($J$1="May",R237,IF($J$1="June",R238,IF($J$1="July",R239,IF($J$1="August",R240,IF($J$1="August",R240,IF($J$1="September",R241,IF($J$1="October",R242,IF($J$1="November",R243,IF($J$1="December",R244)))))))))))))</f>
        <v>0</v>
      </c>
      <c r="D241" s="149"/>
      <c r="E241" s="149"/>
      <c r="F241" s="204" t="s">
        <v>115</v>
      </c>
      <c r="G241" s="190">
        <f>IF($J$1="January",Y233,IF($J$1="February",Y234,IF($J$1="March",Y235,IF($J$1="April",Y236,IF($J$1="May",Y237,IF($J$1="June",Y238,IF($J$1="July",Y239,IF($J$1="August",Y240,IF($J$1="August",Y240,IF($J$1="September",Y241,IF($J$1="October",Y242,IF($J$1="November",Y243,IF($J$1="December",Y244)))))))))))))</f>
        <v>35225</v>
      </c>
      <c r="H241" s="149"/>
      <c r="I241" s="529" t="s">
        <v>13</v>
      </c>
      <c r="J241" s="503"/>
      <c r="K241" s="37">
        <f>K239-K240</f>
        <v>29000</v>
      </c>
      <c r="L241" s="180"/>
      <c r="M241" s="158"/>
      <c r="N241" s="175"/>
      <c r="O241" s="176" t="s">
        <v>116</v>
      </c>
      <c r="P241" s="176">
        <v>29</v>
      </c>
      <c r="Q241" s="176">
        <v>1</v>
      </c>
      <c r="R241" s="176">
        <v>0</v>
      </c>
      <c r="S241" s="156"/>
      <c r="T241" s="176" t="s">
        <v>116</v>
      </c>
      <c r="U241" s="182">
        <f>Y240</f>
        <v>19225</v>
      </c>
      <c r="V241" s="178">
        <f>3500+6500+1000+5000+5000</f>
        <v>21000</v>
      </c>
      <c r="W241" s="182">
        <f t="shared" si="72"/>
        <v>40225</v>
      </c>
      <c r="X241" s="178">
        <v>5000</v>
      </c>
      <c r="Y241" s="182">
        <f t="shared" si="73"/>
        <v>35225</v>
      </c>
      <c r="Z241" s="183"/>
      <c r="AA241" s="158"/>
      <c r="AB241" s="158"/>
      <c r="AC241" s="158"/>
    </row>
    <row r="242" spans="1:29" ht="18" customHeight="1" x14ac:dyDescent="0.2">
      <c r="A242" s="163"/>
      <c r="B242" s="149"/>
      <c r="C242" s="149"/>
      <c r="D242" s="149"/>
      <c r="E242" s="149"/>
      <c r="F242" s="149"/>
      <c r="G242" s="149"/>
      <c r="H242" s="149"/>
      <c r="I242" s="530"/>
      <c r="J242" s="531"/>
      <c r="K242" s="151"/>
      <c r="L242" s="186"/>
      <c r="M242" s="158"/>
      <c r="N242" s="175"/>
      <c r="O242" s="176" t="s">
        <v>117</v>
      </c>
      <c r="P242" s="176"/>
      <c r="Q242" s="176"/>
      <c r="R242" s="176">
        <v>0</v>
      </c>
      <c r="S242" s="156"/>
      <c r="T242" s="176" t="s">
        <v>117</v>
      </c>
      <c r="U242" s="182"/>
      <c r="V242" s="178"/>
      <c r="W242" s="182" t="str">
        <f t="shared" si="72"/>
        <v/>
      </c>
      <c r="X242" s="178"/>
      <c r="Y242" s="182" t="str">
        <f t="shared" si="73"/>
        <v/>
      </c>
      <c r="Z242" s="183"/>
      <c r="AA242" s="158"/>
      <c r="AB242" s="158"/>
      <c r="AC242" s="158"/>
    </row>
    <row r="243" spans="1:29" ht="18" customHeight="1" x14ac:dyDescent="0.3">
      <c r="A243" s="163"/>
      <c r="B243" s="147"/>
      <c r="C243" s="147"/>
      <c r="D243" s="147"/>
      <c r="E243" s="147"/>
      <c r="F243" s="147"/>
      <c r="G243" s="147"/>
      <c r="H243" s="147"/>
      <c r="I243" s="530"/>
      <c r="J243" s="531"/>
      <c r="K243" s="151"/>
      <c r="L243" s="186"/>
      <c r="M243" s="158"/>
      <c r="N243" s="175"/>
      <c r="O243" s="176" t="s">
        <v>118</v>
      </c>
      <c r="P243" s="176"/>
      <c r="Q243" s="176"/>
      <c r="R243" s="176">
        <v>0</v>
      </c>
      <c r="S243" s="156"/>
      <c r="T243" s="176" t="s">
        <v>118</v>
      </c>
      <c r="U243" s="182"/>
      <c r="V243" s="178"/>
      <c r="W243" s="182" t="str">
        <f t="shared" si="72"/>
        <v/>
      </c>
      <c r="X243" s="178"/>
      <c r="Y243" s="182" t="str">
        <f t="shared" si="73"/>
        <v/>
      </c>
      <c r="Z243" s="183"/>
      <c r="AA243" s="158"/>
      <c r="AB243" s="158"/>
      <c r="AC243" s="158"/>
    </row>
    <row r="244" spans="1:29" ht="18" customHeight="1" thickBot="1" x14ac:dyDescent="0.35">
      <c r="A244" s="197"/>
      <c r="B244" s="198"/>
      <c r="C244" s="198"/>
      <c r="D244" s="198"/>
      <c r="E244" s="198"/>
      <c r="F244" s="198"/>
      <c r="G244" s="198"/>
      <c r="H244" s="198"/>
      <c r="I244" s="198"/>
      <c r="J244" s="198"/>
      <c r="K244" s="216"/>
      <c r="L244" s="199"/>
      <c r="M244" s="158"/>
      <c r="N244" s="175"/>
      <c r="O244" s="176" t="s">
        <v>119</v>
      </c>
      <c r="P244" s="176"/>
      <c r="Q244" s="176"/>
      <c r="R244" s="176">
        <v>0</v>
      </c>
      <c r="S244" s="156"/>
      <c r="T244" s="176" t="s">
        <v>119</v>
      </c>
      <c r="U244" s="182"/>
      <c r="V244" s="178"/>
      <c r="W244" s="182" t="str">
        <f t="shared" si="72"/>
        <v/>
      </c>
      <c r="X244" s="178"/>
      <c r="Y244" s="182" t="str">
        <f t="shared" si="73"/>
        <v/>
      </c>
      <c r="Z244" s="183"/>
      <c r="AA244" s="158"/>
      <c r="AB244" s="158"/>
      <c r="AC244" s="158"/>
    </row>
    <row r="245" spans="1:29" ht="18" customHeight="1" thickBot="1" x14ac:dyDescent="0.25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1"/>
      <c r="N245" s="202"/>
      <c r="O245" s="202"/>
      <c r="P245" s="202"/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1"/>
      <c r="AB245" s="201"/>
      <c r="AC245" s="201"/>
    </row>
    <row r="246" spans="1:29" ht="18" customHeight="1" thickBot="1" x14ac:dyDescent="0.25">
      <c r="A246" s="532" t="s">
        <v>87</v>
      </c>
      <c r="B246" s="543"/>
      <c r="C246" s="543"/>
      <c r="D246" s="543"/>
      <c r="E246" s="543"/>
      <c r="F246" s="543"/>
      <c r="G246" s="543"/>
      <c r="H246" s="543"/>
      <c r="I246" s="543"/>
      <c r="J246" s="543"/>
      <c r="K246" s="543"/>
      <c r="L246" s="544"/>
      <c r="M246" s="159"/>
      <c r="N246" s="160"/>
      <c r="O246" s="524" t="s">
        <v>88</v>
      </c>
      <c r="P246" s="541"/>
      <c r="Q246" s="541"/>
      <c r="R246" s="542"/>
      <c r="S246" s="161"/>
      <c r="T246" s="524" t="s">
        <v>89</v>
      </c>
      <c r="U246" s="541"/>
      <c r="V246" s="541"/>
      <c r="W246" s="541"/>
      <c r="X246" s="541"/>
      <c r="Y246" s="542"/>
      <c r="Z246" s="156"/>
      <c r="AA246" s="158"/>
      <c r="AB246" s="158"/>
      <c r="AC246" s="158"/>
    </row>
    <row r="247" spans="1:29" ht="18" customHeight="1" x14ac:dyDescent="0.2">
      <c r="A247" s="163"/>
      <c r="B247" s="149"/>
      <c r="C247" s="553" t="s">
        <v>147</v>
      </c>
      <c r="D247" s="553"/>
      <c r="E247" s="553"/>
      <c r="F247" s="553"/>
      <c r="G247" s="164" t="str">
        <f>$J$1</f>
        <v>September</v>
      </c>
      <c r="H247" s="552">
        <f>$K$1</f>
        <v>2024</v>
      </c>
      <c r="I247" s="552"/>
      <c r="J247" s="149"/>
      <c r="K247" s="165"/>
      <c r="L247" s="166"/>
      <c r="M247" s="167"/>
      <c r="N247" s="168"/>
      <c r="O247" s="169" t="s">
        <v>91</v>
      </c>
      <c r="P247" s="169" t="s">
        <v>92</v>
      </c>
      <c r="Q247" s="169" t="s">
        <v>93</v>
      </c>
      <c r="R247" s="169" t="s">
        <v>94</v>
      </c>
      <c r="S247" s="170"/>
      <c r="T247" s="169" t="s">
        <v>91</v>
      </c>
      <c r="U247" s="169" t="s">
        <v>95</v>
      </c>
      <c r="V247" s="169" t="s">
        <v>9</v>
      </c>
      <c r="W247" s="169" t="s">
        <v>10</v>
      </c>
      <c r="X247" s="169" t="s">
        <v>11</v>
      </c>
      <c r="Y247" s="169" t="s">
        <v>96</v>
      </c>
      <c r="Z247" s="156"/>
      <c r="AA247" s="158"/>
      <c r="AB247" s="158"/>
      <c r="AC247" s="158"/>
    </row>
    <row r="248" spans="1:29" ht="18" customHeight="1" x14ac:dyDescent="0.2">
      <c r="A248" s="163"/>
      <c r="B248" s="149"/>
      <c r="C248" s="149"/>
      <c r="D248" s="172"/>
      <c r="E248" s="172"/>
      <c r="F248" s="172"/>
      <c r="G248" s="172"/>
      <c r="H248" s="172"/>
      <c r="I248" s="149"/>
      <c r="J248" s="173" t="s">
        <v>97</v>
      </c>
      <c r="K248" s="151">
        <f>35000+10000</f>
        <v>45000</v>
      </c>
      <c r="L248" s="174"/>
      <c r="M248" s="158"/>
      <c r="N248" s="175"/>
      <c r="O248" s="176" t="s">
        <v>98</v>
      </c>
      <c r="P248" s="176">
        <v>31</v>
      </c>
      <c r="Q248" s="176">
        <v>0</v>
      </c>
      <c r="R248" s="176">
        <v>0</v>
      </c>
      <c r="S248" s="177"/>
      <c r="T248" s="176" t="s">
        <v>98</v>
      </c>
      <c r="U248" s="178"/>
      <c r="V248" s="178"/>
      <c r="W248" s="178"/>
      <c r="X248" s="178"/>
      <c r="Y248" s="178"/>
      <c r="Z248" s="156"/>
      <c r="AA248" s="158"/>
      <c r="AB248" s="158"/>
      <c r="AC248" s="158"/>
    </row>
    <row r="249" spans="1:29" ht="18" customHeight="1" x14ac:dyDescent="0.2">
      <c r="A249" s="163"/>
      <c r="B249" s="149" t="s">
        <v>99</v>
      </c>
      <c r="C249" s="148" t="s">
        <v>283</v>
      </c>
      <c r="D249" s="149"/>
      <c r="E249" s="149"/>
      <c r="F249" s="149"/>
      <c r="G249" s="149"/>
      <c r="H249" s="179"/>
      <c r="I249" s="172"/>
      <c r="J249" s="149"/>
      <c r="K249" s="149"/>
      <c r="L249" s="180"/>
      <c r="M249" s="159"/>
      <c r="N249" s="181"/>
      <c r="O249" s="176" t="s">
        <v>100</v>
      </c>
      <c r="P249" s="176">
        <v>29</v>
      </c>
      <c r="Q249" s="176">
        <v>0</v>
      </c>
      <c r="R249" s="176">
        <v>0</v>
      </c>
      <c r="S249" s="156"/>
      <c r="T249" s="176" t="s">
        <v>100</v>
      </c>
      <c r="U249" s="182"/>
      <c r="V249" s="178"/>
      <c r="W249" s="182"/>
      <c r="X249" s="178"/>
      <c r="Y249" s="182"/>
      <c r="Z249" s="156"/>
      <c r="AA249" s="158"/>
      <c r="AB249" s="158"/>
      <c r="AC249" s="158"/>
    </row>
    <row r="250" spans="1:29" ht="18" customHeight="1" x14ac:dyDescent="0.2">
      <c r="A250" s="163"/>
      <c r="B250" s="184" t="s">
        <v>101</v>
      </c>
      <c r="C250" s="185"/>
      <c r="D250" s="149"/>
      <c r="E250" s="149"/>
      <c r="F250" s="549" t="s">
        <v>89</v>
      </c>
      <c r="G250" s="551"/>
      <c r="H250" s="149"/>
      <c r="I250" s="549" t="s">
        <v>102</v>
      </c>
      <c r="J250" s="550"/>
      <c r="K250" s="551"/>
      <c r="L250" s="186"/>
      <c r="M250" s="158"/>
      <c r="N250" s="175"/>
      <c r="O250" s="176" t="s">
        <v>103</v>
      </c>
      <c r="P250" s="176">
        <v>31</v>
      </c>
      <c r="Q250" s="176">
        <v>0</v>
      </c>
      <c r="R250" s="176">
        <v>0</v>
      </c>
      <c r="S250" s="156"/>
      <c r="T250" s="176" t="s">
        <v>103</v>
      </c>
      <c r="U250" s="182"/>
      <c r="V250" s="178"/>
      <c r="W250" s="182"/>
      <c r="X250" s="178"/>
      <c r="Y250" s="182"/>
      <c r="Z250" s="156"/>
      <c r="AA250" s="158"/>
      <c r="AB250" s="158"/>
      <c r="AC250" s="158"/>
    </row>
    <row r="251" spans="1:29" ht="18" customHeight="1" x14ac:dyDescent="0.2">
      <c r="A251" s="163"/>
      <c r="B251" s="149"/>
      <c r="C251" s="149"/>
      <c r="D251" s="149"/>
      <c r="E251" s="149"/>
      <c r="F251" s="149"/>
      <c r="G251" s="149"/>
      <c r="H251" s="187"/>
      <c r="I251" s="149"/>
      <c r="J251" s="149"/>
      <c r="K251" s="149"/>
      <c r="L251" s="188"/>
      <c r="M251" s="158"/>
      <c r="N251" s="175"/>
      <c r="O251" s="176" t="s">
        <v>104</v>
      </c>
      <c r="P251" s="176">
        <v>30</v>
      </c>
      <c r="Q251" s="176">
        <v>0</v>
      </c>
      <c r="R251" s="176">
        <v>0</v>
      </c>
      <c r="S251" s="156"/>
      <c r="T251" s="176" t="s">
        <v>104</v>
      </c>
      <c r="U251" s="182"/>
      <c r="V251" s="178"/>
      <c r="W251" s="182"/>
      <c r="X251" s="178"/>
      <c r="Y251" s="182"/>
      <c r="Z251" s="156"/>
      <c r="AA251" s="158"/>
      <c r="AB251" s="158"/>
      <c r="AC251" s="158"/>
    </row>
    <row r="252" spans="1:29" ht="18" customHeight="1" x14ac:dyDescent="0.2">
      <c r="A252" s="163"/>
      <c r="B252" s="547" t="s">
        <v>88</v>
      </c>
      <c r="C252" s="548"/>
      <c r="D252" s="149"/>
      <c r="E252" s="149"/>
      <c r="F252" s="189" t="s">
        <v>105</v>
      </c>
      <c r="G252" s="190">
        <f>IF($J$1="January",U248,IF($J$1="February",U249,IF($J$1="March",U250,IF($J$1="April",U251,IF($J$1="May",U252,IF($J$1="June",U253,IF($J$1="July",U254,IF($J$1="August",U255,IF($J$1="August",U255,IF($J$1="September",U256,IF($J$1="October",U257,IF($J$1="November",U258,IF($J$1="December",U259)))))))))))))</f>
        <v>0</v>
      </c>
      <c r="H252" s="187"/>
      <c r="I252" s="191">
        <f>IF(C256&gt;=C255,$K$2,C254+C256)</f>
        <v>30</v>
      </c>
      <c r="J252" s="192" t="s">
        <v>106</v>
      </c>
      <c r="K252" s="193">
        <f>K248/$K$2*I252</f>
        <v>45000</v>
      </c>
      <c r="L252" s="194"/>
      <c r="M252" s="158"/>
      <c r="N252" s="175"/>
      <c r="O252" s="176" t="s">
        <v>107</v>
      </c>
      <c r="P252" s="176">
        <v>31</v>
      </c>
      <c r="Q252" s="176">
        <v>0</v>
      </c>
      <c r="R252" s="176">
        <v>0</v>
      </c>
      <c r="S252" s="156"/>
      <c r="T252" s="176" t="s">
        <v>107</v>
      </c>
      <c r="U252" s="182"/>
      <c r="V252" s="178"/>
      <c r="W252" s="182"/>
      <c r="X252" s="178"/>
      <c r="Y252" s="182"/>
      <c r="Z252" s="156"/>
      <c r="AA252" s="158"/>
      <c r="AB252" s="158"/>
      <c r="AC252" s="158"/>
    </row>
    <row r="253" spans="1:29" ht="18" customHeight="1" x14ac:dyDescent="0.2">
      <c r="A253" s="163"/>
      <c r="B253" s="195"/>
      <c r="C253" s="195"/>
      <c r="D253" s="149"/>
      <c r="E253" s="149"/>
      <c r="F253" s="189" t="s">
        <v>9</v>
      </c>
      <c r="G253" s="190">
        <f>IF($J$1="January",V248,IF($J$1="February",V249,IF($J$1="March",V250,IF($J$1="April",V251,IF($J$1="May",V252,IF($J$1="June",V253,IF($J$1="July",V254,IF($J$1="August",V255,IF($J$1="August",V255,IF($J$1="September",V256,IF($J$1="October",V257,IF($J$1="November",V258,IF($J$1="December",V259)))))))))))))</f>
        <v>0</v>
      </c>
      <c r="H253" s="187"/>
      <c r="I253" s="191">
        <v>41</v>
      </c>
      <c r="J253" s="192" t="s">
        <v>108</v>
      </c>
      <c r="K253" s="190">
        <f>K248/$K$2/8*I253</f>
        <v>7687.5</v>
      </c>
      <c r="L253" s="196"/>
      <c r="M253" s="158"/>
      <c r="N253" s="175"/>
      <c r="O253" s="176" t="s">
        <v>84</v>
      </c>
      <c r="P253" s="205">
        <v>30</v>
      </c>
      <c r="Q253" s="205">
        <v>0</v>
      </c>
      <c r="R253" s="176">
        <v>0</v>
      </c>
      <c r="S253" s="156"/>
      <c r="T253" s="176" t="s">
        <v>84</v>
      </c>
      <c r="U253" s="182">
        <f>Y252</f>
        <v>0</v>
      </c>
      <c r="V253" s="178"/>
      <c r="W253" s="182">
        <f>IF(U253="","",U253+V253)</f>
        <v>0</v>
      </c>
      <c r="X253" s="178"/>
      <c r="Y253" s="182">
        <f>IF(W253="","",W253-X253)</f>
        <v>0</v>
      </c>
      <c r="Z253" s="156"/>
      <c r="AA253" s="158"/>
      <c r="AB253" s="158"/>
      <c r="AC253" s="158"/>
    </row>
    <row r="254" spans="1:29" ht="18" customHeight="1" x14ac:dyDescent="0.2">
      <c r="A254" s="163"/>
      <c r="B254" s="189" t="s">
        <v>92</v>
      </c>
      <c r="C254" s="195">
        <f>IF($J$1="January",P248,IF($J$1="February",P249,IF($J$1="March",P250,IF($J$1="April",P251,IF($J$1="May",P252,IF($J$1="June",P253,IF($J$1="July",P254,IF($J$1="August",P255,IF($J$1="August",P255,IF($J$1="September",P256,IF($J$1="October",P257,IF($J$1="November",P258,IF($J$1="December",P259)))))))))))))</f>
        <v>30</v>
      </c>
      <c r="D254" s="149"/>
      <c r="E254" s="149"/>
      <c r="F254" s="189" t="s">
        <v>109</v>
      </c>
      <c r="G254" s="190">
        <f>IF($J$1="January",W248,IF($J$1="February",W249,IF($J$1="March",W250,IF($J$1="April",W251,IF($J$1="May",W252,IF($J$1="June",W253,IF($J$1="July",W254,IF($J$1="August",W255,IF($J$1="August",W255,IF($J$1="September",W256,IF($J$1="October",W257,IF($J$1="November",W258,IF($J$1="December",W259)))))))))))))</f>
        <v>0</v>
      </c>
      <c r="H254" s="187"/>
      <c r="I254" s="545" t="s">
        <v>110</v>
      </c>
      <c r="J254" s="546"/>
      <c r="K254" s="190">
        <f>K252+K253</f>
        <v>52687.5</v>
      </c>
      <c r="L254" s="196"/>
      <c r="M254" s="158"/>
      <c r="N254" s="175"/>
      <c r="O254" s="176" t="s">
        <v>111</v>
      </c>
      <c r="P254" s="176">
        <v>31</v>
      </c>
      <c r="Q254" s="176">
        <v>0</v>
      </c>
      <c r="R254" s="176">
        <v>0</v>
      </c>
      <c r="S254" s="156"/>
      <c r="T254" s="176" t="s">
        <v>111</v>
      </c>
      <c r="U254" s="182"/>
      <c r="V254" s="178"/>
      <c r="W254" s="182"/>
      <c r="X254" s="178"/>
      <c r="Y254" s="182"/>
      <c r="Z254" s="156"/>
      <c r="AA254" s="158"/>
      <c r="AB254" s="158"/>
      <c r="AC254" s="158"/>
    </row>
    <row r="255" spans="1:29" ht="18" customHeight="1" x14ac:dyDescent="0.2">
      <c r="A255" s="163"/>
      <c r="B255" s="189" t="s">
        <v>93</v>
      </c>
      <c r="C255" s="195">
        <f>IF($J$1="January",Q248,IF($J$1="February",Q249,IF($J$1="March",Q250,IF($J$1="April",Q251,IF($J$1="May",Q252,IF($J$1="June",Q253,IF($J$1="July",Q254,IF($J$1="August",Q255,IF($J$1="August",Q255,IF($J$1="September",Q256,IF($J$1="October",Q257,IF($J$1="November",Q258,IF($J$1="December",Q259)))))))))))))</f>
        <v>0</v>
      </c>
      <c r="D255" s="149"/>
      <c r="E255" s="149"/>
      <c r="F255" s="189" t="s">
        <v>11</v>
      </c>
      <c r="G255" s="190">
        <f>IF($J$1="January",X248,IF($J$1="February",X249,IF($J$1="March",X250,IF($J$1="April",X251,IF($J$1="May",X252,IF($J$1="June",X253,IF($J$1="July",X254,IF($J$1="August",X255,IF($J$1="August",X255,IF($J$1="September",X256,IF($J$1="October",X257,IF($J$1="November",X258,IF($J$1="December",X259)))))))))))))</f>
        <v>0</v>
      </c>
      <c r="H255" s="187"/>
      <c r="I255" s="545" t="s">
        <v>112</v>
      </c>
      <c r="J255" s="546"/>
      <c r="K255" s="190">
        <f>G255</f>
        <v>0</v>
      </c>
      <c r="L255" s="196"/>
      <c r="M255" s="158"/>
      <c r="N255" s="175"/>
      <c r="O255" s="176" t="s">
        <v>113</v>
      </c>
      <c r="P255" s="176">
        <v>31</v>
      </c>
      <c r="Q255" s="176">
        <v>0</v>
      </c>
      <c r="R255" s="176">
        <v>0</v>
      </c>
      <c r="S255" s="156"/>
      <c r="T255" s="176" t="s">
        <v>113</v>
      </c>
      <c r="U255" s="182"/>
      <c r="V255" s="178"/>
      <c r="W255" s="182"/>
      <c r="X255" s="178"/>
      <c r="Y255" s="182"/>
      <c r="Z255" s="156"/>
      <c r="AA255" s="158"/>
      <c r="AB255" s="158"/>
      <c r="AC255" s="158"/>
    </row>
    <row r="256" spans="1:29" ht="18" customHeight="1" x14ac:dyDescent="0.2">
      <c r="A256" s="163"/>
      <c r="B256" s="204" t="s">
        <v>114</v>
      </c>
      <c r="C256" s="195">
        <f>IF($J$1="January",R248,IF($J$1="February",R249,IF($J$1="March",R250,IF($J$1="April",R251,IF($J$1="May",R252,IF($J$1="June",R253,IF($J$1="July",R254,IF($J$1="August",R255,IF($J$1="August",R255,IF($J$1="September",R256,IF($J$1="October",R257,IF($J$1="November",R258,IF($J$1="December",R259)))))))))))))</f>
        <v>0</v>
      </c>
      <c r="D256" s="149"/>
      <c r="E256" s="149"/>
      <c r="F256" s="204" t="s">
        <v>115</v>
      </c>
      <c r="G256" s="190">
        <f>IF($J$1="January",Y248,IF($J$1="February",Y249,IF($J$1="March",Y250,IF($J$1="April",Y251,IF($J$1="May",Y252,IF($J$1="June",Y253,IF($J$1="July",Y254,IF($J$1="August",Y255,IF($J$1="August",Y255,IF($J$1="September",Y256,IF($J$1="October",Y257,IF($J$1="November",Y258,IF($J$1="December",Y259)))))))))))))</f>
        <v>0</v>
      </c>
      <c r="H256" s="149"/>
      <c r="I256" s="549" t="s">
        <v>13</v>
      </c>
      <c r="J256" s="551"/>
      <c r="K256" s="37">
        <f>K254-K255</f>
        <v>52687.5</v>
      </c>
      <c r="L256" s="180"/>
      <c r="M256" s="158"/>
      <c r="N256" s="175"/>
      <c r="O256" s="176" t="s">
        <v>116</v>
      </c>
      <c r="P256" s="176">
        <v>30</v>
      </c>
      <c r="Q256" s="176"/>
      <c r="R256" s="176">
        <v>0</v>
      </c>
      <c r="S256" s="156"/>
      <c r="T256" s="176" t="s">
        <v>116</v>
      </c>
      <c r="U256" s="182">
        <f>IF($J$1="September",Y255,"")</f>
        <v>0</v>
      </c>
      <c r="V256" s="178"/>
      <c r="W256" s="182">
        <f t="shared" ref="W256:W257" si="75">IF(U256="","",U256+V256)</f>
        <v>0</v>
      </c>
      <c r="X256" s="178"/>
      <c r="Y256" s="182">
        <f t="shared" ref="Y256:Y257" si="76">IF(W256="","",W256-X256)</f>
        <v>0</v>
      </c>
      <c r="Z256" s="183"/>
      <c r="AA256" s="158"/>
      <c r="AB256" s="158"/>
      <c r="AC256" s="158"/>
    </row>
    <row r="257" spans="1:29" ht="18" customHeight="1" x14ac:dyDescent="0.2">
      <c r="A257" s="163"/>
      <c r="B257" s="149"/>
      <c r="C257" s="149"/>
      <c r="D257" s="149"/>
      <c r="E257" s="149"/>
      <c r="F257" s="149"/>
      <c r="G257" s="149"/>
      <c r="H257" s="149"/>
      <c r="I257" s="554"/>
      <c r="J257" s="554"/>
      <c r="K257" s="151"/>
      <c r="L257" s="186"/>
      <c r="M257" s="158"/>
      <c r="N257" s="175"/>
      <c r="O257" s="176" t="s">
        <v>117</v>
      </c>
      <c r="P257" s="176"/>
      <c r="Q257" s="176"/>
      <c r="R257" s="176">
        <v>0</v>
      </c>
      <c r="S257" s="156"/>
      <c r="T257" s="176" t="s">
        <v>117</v>
      </c>
      <c r="U257" s="182" t="str">
        <f>IF($J$1="October",Y256,"")</f>
        <v/>
      </c>
      <c r="V257" s="178"/>
      <c r="W257" s="182" t="str">
        <f t="shared" si="75"/>
        <v/>
      </c>
      <c r="X257" s="178"/>
      <c r="Y257" s="182" t="str">
        <f t="shared" si="76"/>
        <v/>
      </c>
      <c r="Z257" s="183"/>
      <c r="AA257" s="158"/>
      <c r="AB257" s="158"/>
      <c r="AC257" s="158"/>
    </row>
    <row r="258" spans="1:29" ht="18" customHeight="1" x14ac:dyDescent="0.3">
      <c r="A258" s="163"/>
      <c r="B258" s="147"/>
      <c r="C258" s="147"/>
      <c r="D258" s="147"/>
      <c r="E258" s="147"/>
      <c r="F258" s="147"/>
      <c r="G258" s="147"/>
      <c r="H258" s="147"/>
      <c r="I258" s="530"/>
      <c r="J258" s="530"/>
      <c r="K258" s="151"/>
      <c r="L258" s="186"/>
      <c r="M258" s="158"/>
      <c r="N258" s="175"/>
      <c r="O258" s="176" t="s">
        <v>118</v>
      </c>
      <c r="P258" s="176"/>
      <c r="Q258" s="176"/>
      <c r="R258" s="176">
        <v>0</v>
      </c>
      <c r="S258" s="156"/>
      <c r="T258" s="176" t="s">
        <v>118</v>
      </c>
      <c r="U258" s="182"/>
      <c r="V258" s="178"/>
      <c r="W258" s="182"/>
      <c r="X258" s="178"/>
      <c r="Y258" s="182"/>
      <c r="Z258" s="156"/>
      <c r="AA258" s="158"/>
      <c r="AB258" s="158"/>
      <c r="AC258" s="158"/>
    </row>
    <row r="259" spans="1:29" ht="18" customHeight="1" thickBot="1" x14ac:dyDescent="0.35">
      <c r="A259" s="197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9"/>
      <c r="M259" s="158"/>
      <c r="N259" s="175"/>
      <c r="O259" s="176" t="s">
        <v>119</v>
      </c>
      <c r="P259" s="176"/>
      <c r="Q259" s="176"/>
      <c r="R259" s="176" t="str">
        <f>IF(Q259="","",R258-Q259)</f>
        <v/>
      </c>
      <c r="S259" s="156"/>
      <c r="T259" s="176" t="s">
        <v>119</v>
      </c>
      <c r="U259" s="182"/>
      <c r="V259" s="178"/>
      <c r="W259" s="182"/>
      <c r="X259" s="178"/>
      <c r="Y259" s="182"/>
      <c r="Z259" s="156"/>
      <c r="AA259" s="158"/>
      <c r="AB259" s="158"/>
      <c r="AC259" s="158"/>
    </row>
    <row r="260" spans="1:29" ht="18" customHeight="1" thickBot="1" x14ac:dyDescent="0.25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1"/>
      <c r="N260" s="202"/>
      <c r="O260" s="202"/>
      <c r="P260" s="202"/>
      <c r="Q260" s="202"/>
      <c r="R260" s="202"/>
      <c r="S260" s="202"/>
      <c r="T260" s="202"/>
      <c r="U260" s="202"/>
      <c r="V260" s="202"/>
      <c r="W260" s="202"/>
      <c r="X260" s="202"/>
      <c r="Y260" s="202"/>
      <c r="Z260" s="202"/>
      <c r="AA260" s="201"/>
      <c r="AB260" s="201"/>
      <c r="AC260" s="201"/>
    </row>
    <row r="261" spans="1:29" ht="18" customHeight="1" thickBot="1" x14ac:dyDescent="0.25">
      <c r="A261" s="532" t="s">
        <v>87</v>
      </c>
      <c r="B261" s="533"/>
      <c r="C261" s="533"/>
      <c r="D261" s="533"/>
      <c r="E261" s="533"/>
      <c r="F261" s="533"/>
      <c r="G261" s="533"/>
      <c r="H261" s="533"/>
      <c r="I261" s="533"/>
      <c r="J261" s="533"/>
      <c r="K261" s="533"/>
      <c r="L261" s="534"/>
      <c r="M261" s="159"/>
      <c r="N261" s="160"/>
      <c r="O261" s="524" t="s">
        <v>88</v>
      </c>
      <c r="P261" s="525"/>
      <c r="Q261" s="525"/>
      <c r="R261" s="526"/>
      <c r="S261" s="161"/>
      <c r="T261" s="524" t="s">
        <v>89</v>
      </c>
      <c r="U261" s="525"/>
      <c r="V261" s="525"/>
      <c r="W261" s="525"/>
      <c r="X261" s="525"/>
      <c r="Y261" s="526"/>
      <c r="Z261" s="162"/>
      <c r="AA261" s="158"/>
      <c r="AB261" s="158"/>
      <c r="AC261" s="158"/>
    </row>
    <row r="262" spans="1:29" ht="18" customHeight="1" x14ac:dyDescent="0.2">
      <c r="A262" s="163"/>
      <c r="B262" s="149"/>
      <c r="C262" s="535" t="s">
        <v>148</v>
      </c>
      <c r="D262" s="531"/>
      <c r="E262" s="531"/>
      <c r="F262" s="531"/>
      <c r="G262" s="164" t="str">
        <f>$J$1</f>
        <v>September</v>
      </c>
      <c r="H262" s="536">
        <f>$K$1</f>
        <v>2024</v>
      </c>
      <c r="I262" s="531"/>
      <c r="J262" s="149"/>
      <c r="K262" s="165"/>
      <c r="L262" s="166"/>
      <c r="M262" s="167"/>
      <c r="N262" s="168"/>
      <c r="O262" s="169" t="s">
        <v>91</v>
      </c>
      <c r="P262" s="169" t="s">
        <v>92</v>
      </c>
      <c r="Q262" s="169" t="s">
        <v>93</v>
      </c>
      <c r="R262" s="169" t="s">
        <v>94</v>
      </c>
      <c r="S262" s="170"/>
      <c r="T262" s="169" t="s">
        <v>91</v>
      </c>
      <c r="U262" s="169" t="s">
        <v>95</v>
      </c>
      <c r="V262" s="169" t="s">
        <v>9</v>
      </c>
      <c r="W262" s="169" t="s">
        <v>10</v>
      </c>
      <c r="X262" s="169" t="s">
        <v>11</v>
      </c>
      <c r="Y262" s="169" t="s">
        <v>96</v>
      </c>
      <c r="Z262" s="171"/>
      <c r="AA262" s="158"/>
      <c r="AB262" s="158"/>
      <c r="AC262" s="158"/>
    </row>
    <row r="263" spans="1:29" ht="18" customHeight="1" x14ac:dyDescent="0.2">
      <c r="A263" s="163"/>
      <c r="B263" s="149"/>
      <c r="C263" s="149"/>
      <c r="D263" s="172"/>
      <c r="E263" s="172"/>
      <c r="F263" s="172"/>
      <c r="G263" s="172"/>
      <c r="H263" s="172"/>
      <c r="I263" s="149"/>
      <c r="J263" s="173" t="s">
        <v>97</v>
      </c>
      <c r="K263" s="151">
        <v>35000</v>
      </c>
      <c r="L263" s="174"/>
      <c r="M263" s="158"/>
      <c r="N263" s="175"/>
      <c r="O263" s="176" t="s">
        <v>98</v>
      </c>
      <c r="P263" s="176">
        <v>31</v>
      </c>
      <c r="Q263" s="176">
        <v>0</v>
      </c>
      <c r="R263" s="176">
        <v>0</v>
      </c>
      <c r="S263" s="177"/>
      <c r="T263" s="176" t="s">
        <v>98</v>
      </c>
      <c r="U263" s="178"/>
      <c r="V263" s="178"/>
      <c r="W263" s="178">
        <f>V263+U263</f>
        <v>0</v>
      </c>
      <c r="X263" s="178"/>
      <c r="Y263" s="178">
        <f>W263-X263</f>
        <v>0</v>
      </c>
      <c r="Z263" s="171"/>
      <c r="AA263" s="158"/>
      <c r="AB263" s="158"/>
      <c r="AC263" s="158"/>
    </row>
    <row r="264" spans="1:29" ht="18" customHeight="1" x14ac:dyDescent="0.2">
      <c r="A264" s="163"/>
      <c r="B264" s="149" t="s">
        <v>99</v>
      </c>
      <c r="C264" s="148" t="s">
        <v>149</v>
      </c>
      <c r="D264" s="149"/>
      <c r="E264" s="149"/>
      <c r="F264" s="149"/>
      <c r="G264" s="149"/>
      <c r="H264" s="179"/>
      <c r="I264" s="172"/>
      <c r="J264" s="149"/>
      <c r="K264" s="149"/>
      <c r="L264" s="180"/>
      <c r="M264" s="159"/>
      <c r="N264" s="181"/>
      <c r="O264" s="176" t="s">
        <v>100</v>
      </c>
      <c r="P264" s="176">
        <v>27</v>
      </c>
      <c r="Q264" s="176">
        <v>2</v>
      </c>
      <c r="R264" s="176">
        <v>0</v>
      </c>
      <c r="S264" s="156"/>
      <c r="T264" s="176" t="s">
        <v>100</v>
      </c>
      <c r="U264" s="182">
        <f t="shared" ref="U264:U266" si="77">Y263</f>
        <v>0</v>
      </c>
      <c r="V264" s="178"/>
      <c r="W264" s="182">
        <f t="shared" ref="W264:W274" si="78">IF(U264="","",U264+V264)</f>
        <v>0</v>
      </c>
      <c r="X264" s="178"/>
      <c r="Y264" s="182">
        <f t="shared" ref="Y264:Y274" si="79">IF(W264="","",W264-X264)</f>
        <v>0</v>
      </c>
      <c r="Z264" s="183"/>
      <c r="AA264" s="158"/>
      <c r="AB264" s="158"/>
      <c r="AC264" s="158"/>
    </row>
    <row r="265" spans="1:29" ht="18" customHeight="1" x14ac:dyDescent="0.2">
      <c r="A265" s="163"/>
      <c r="B265" s="184" t="s">
        <v>101</v>
      </c>
      <c r="C265" s="185"/>
      <c r="D265" s="149"/>
      <c r="E265" s="149"/>
      <c r="F265" s="529" t="s">
        <v>89</v>
      </c>
      <c r="G265" s="503"/>
      <c r="H265" s="149"/>
      <c r="I265" s="529" t="s">
        <v>102</v>
      </c>
      <c r="J265" s="502"/>
      <c r="K265" s="503"/>
      <c r="L265" s="186"/>
      <c r="M265" s="158"/>
      <c r="N265" s="175"/>
      <c r="O265" s="176" t="s">
        <v>103</v>
      </c>
      <c r="P265" s="176">
        <v>31</v>
      </c>
      <c r="Q265" s="176">
        <v>0</v>
      </c>
      <c r="R265" s="176">
        <v>0</v>
      </c>
      <c r="S265" s="156"/>
      <c r="T265" s="176" t="s">
        <v>103</v>
      </c>
      <c r="U265" s="182">
        <f t="shared" si="77"/>
        <v>0</v>
      </c>
      <c r="V265" s="178"/>
      <c r="W265" s="182">
        <f t="shared" si="78"/>
        <v>0</v>
      </c>
      <c r="X265" s="178"/>
      <c r="Y265" s="182">
        <f t="shared" si="79"/>
        <v>0</v>
      </c>
      <c r="Z265" s="183"/>
      <c r="AA265" s="158"/>
      <c r="AB265" s="158"/>
      <c r="AC265" s="158"/>
    </row>
    <row r="266" spans="1:29" ht="18" customHeight="1" x14ac:dyDescent="0.2">
      <c r="A266" s="163"/>
      <c r="B266" s="149"/>
      <c r="C266" s="149"/>
      <c r="D266" s="149"/>
      <c r="E266" s="149"/>
      <c r="F266" s="149"/>
      <c r="G266" s="149"/>
      <c r="H266" s="187"/>
      <c r="I266" s="149"/>
      <c r="J266" s="149"/>
      <c r="K266" s="149"/>
      <c r="L266" s="188"/>
      <c r="M266" s="158"/>
      <c r="N266" s="175"/>
      <c r="O266" s="176" t="s">
        <v>104</v>
      </c>
      <c r="P266" s="176">
        <v>28</v>
      </c>
      <c r="Q266" s="176">
        <v>2</v>
      </c>
      <c r="R266" s="176">
        <v>0</v>
      </c>
      <c r="S266" s="156"/>
      <c r="T266" s="176" t="s">
        <v>104</v>
      </c>
      <c r="U266" s="182">
        <f t="shared" si="77"/>
        <v>0</v>
      </c>
      <c r="V266" s="178"/>
      <c r="W266" s="182">
        <f t="shared" si="78"/>
        <v>0</v>
      </c>
      <c r="X266" s="178"/>
      <c r="Y266" s="182">
        <f t="shared" si="79"/>
        <v>0</v>
      </c>
      <c r="Z266" s="183"/>
      <c r="AA266" s="158"/>
      <c r="AB266" s="158"/>
      <c r="AC266" s="158"/>
    </row>
    <row r="267" spans="1:29" ht="18" customHeight="1" x14ac:dyDescent="0.2">
      <c r="A267" s="163"/>
      <c r="B267" s="527" t="s">
        <v>88</v>
      </c>
      <c r="C267" s="503"/>
      <c r="D267" s="149"/>
      <c r="E267" s="149"/>
      <c r="F267" s="189" t="s">
        <v>105</v>
      </c>
      <c r="G267" s="190">
        <f>IF($J$1="January",U263,IF($J$1="February",U264,IF($J$1="March",U265,IF($J$1="April",U266,IF($J$1="May",U267,IF($J$1="June",U268,IF($J$1="July",U269,IF($J$1="August",U270,IF($J$1="August",U270,IF($J$1="September",U271,IF($J$1="October",U272,IF($J$1="November",U273,IF($J$1="December",U274)))))))))))))</f>
        <v>0</v>
      </c>
      <c r="H267" s="187"/>
      <c r="I267" s="191">
        <f>IF(C271&gt;=C270,$K$2,C269+C271)</f>
        <v>28</v>
      </c>
      <c r="J267" s="192" t="s">
        <v>106</v>
      </c>
      <c r="K267" s="193">
        <f>K263/$K$2*I267</f>
        <v>32666.666666666668</v>
      </c>
      <c r="L267" s="194"/>
      <c r="M267" s="158"/>
      <c r="N267" s="175"/>
      <c r="O267" s="176" t="s">
        <v>107</v>
      </c>
      <c r="P267" s="176">
        <v>29</v>
      </c>
      <c r="Q267" s="176">
        <v>2</v>
      </c>
      <c r="R267" s="176">
        <v>0</v>
      </c>
      <c r="S267" s="156"/>
      <c r="T267" s="176" t="s">
        <v>107</v>
      </c>
      <c r="U267" s="182">
        <v>0</v>
      </c>
      <c r="V267" s="178"/>
      <c r="W267" s="182">
        <f t="shared" si="78"/>
        <v>0</v>
      </c>
      <c r="X267" s="178"/>
      <c r="Y267" s="182">
        <f t="shared" si="79"/>
        <v>0</v>
      </c>
      <c r="Z267" s="183"/>
      <c r="AA267" s="158"/>
      <c r="AB267" s="158"/>
      <c r="AC267" s="158"/>
    </row>
    <row r="268" spans="1:29" ht="18" customHeight="1" x14ac:dyDescent="0.2">
      <c r="A268" s="163"/>
      <c r="B268" s="195"/>
      <c r="C268" s="195"/>
      <c r="D268" s="149"/>
      <c r="E268" s="149"/>
      <c r="F268" s="189" t="s">
        <v>9</v>
      </c>
      <c r="G268" s="190">
        <f>IF($J$1="January",V263,IF($J$1="February",V264,IF($J$1="March",V265,IF($J$1="April",V266,IF($J$1="May",V267,IF($J$1="June",V268,IF($J$1="July",V269,IF($J$1="August",V270,IF($J$1="August",V270,IF($J$1="September",V271,IF($J$1="October",V272,IF($J$1="November",V273,IF($J$1="December",V274)))))))))))))</f>
        <v>0</v>
      </c>
      <c r="H268" s="187"/>
      <c r="I268" s="191">
        <v>28</v>
      </c>
      <c r="J268" s="192" t="s">
        <v>108</v>
      </c>
      <c r="K268" s="190">
        <f>K263/$K$2/8*I268</f>
        <v>4083.3333333333335</v>
      </c>
      <c r="L268" s="196"/>
      <c r="M268" s="158"/>
      <c r="N268" s="175"/>
      <c r="O268" s="176" t="s">
        <v>84</v>
      </c>
      <c r="P268" s="205">
        <v>26</v>
      </c>
      <c r="Q268" s="205">
        <v>4</v>
      </c>
      <c r="R268" s="176">
        <v>0</v>
      </c>
      <c r="S268" s="156"/>
      <c r="T268" s="176" t="s">
        <v>84</v>
      </c>
      <c r="U268" s="182">
        <f t="shared" ref="U268:U274" si="80">Y267</f>
        <v>0</v>
      </c>
      <c r="V268" s="178"/>
      <c r="W268" s="182">
        <f t="shared" si="78"/>
        <v>0</v>
      </c>
      <c r="X268" s="178"/>
      <c r="Y268" s="182">
        <f t="shared" si="79"/>
        <v>0</v>
      </c>
      <c r="Z268" s="183"/>
      <c r="AA268" s="158"/>
      <c r="AB268" s="158"/>
      <c r="AC268" s="158"/>
    </row>
    <row r="269" spans="1:29" ht="18" customHeight="1" x14ac:dyDescent="0.2">
      <c r="A269" s="163"/>
      <c r="B269" s="189" t="s">
        <v>92</v>
      </c>
      <c r="C269" s="195">
        <f>IF($J$1="January",P263,IF($J$1="February",P264,IF($J$1="March",P265,IF($J$1="April",P266,IF($J$1="May",P267,IF($J$1="June",P268,IF($J$1="July",P269,IF($J$1="August",P270,IF($J$1="August",P270,IF($J$1="September",P271,IF($J$1="October",P272,IF($J$1="November",P273,IF($J$1="December",P274)))))))))))))</f>
        <v>28</v>
      </c>
      <c r="D269" s="149"/>
      <c r="E269" s="149"/>
      <c r="F269" s="189" t="s">
        <v>109</v>
      </c>
      <c r="G269" s="190">
        <f>IF($J$1="January",W263,IF($J$1="February",W264,IF($J$1="March",W265,IF($J$1="April",W266,IF($J$1="May",W267,IF($J$1="June",W268,IF($J$1="July",W269,IF($J$1="August",W270,IF($J$1="August",W270,IF($J$1="September",W271,IF($J$1="October",W272,IF($J$1="November",W273,IF($J$1="December",W274)))))))))))))</f>
        <v>0</v>
      </c>
      <c r="H269" s="187"/>
      <c r="I269" s="528" t="s">
        <v>110</v>
      </c>
      <c r="J269" s="503"/>
      <c r="K269" s="190">
        <f>K267+K268</f>
        <v>36750</v>
      </c>
      <c r="L269" s="196"/>
      <c r="M269" s="158"/>
      <c r="N269" s="175"/>
      <c r="O269" s="176" t="s">
        <v>111</v>
      </c>
      <c r="P269" s="176">
        <v>29</v>
      </c>
      <c r="Q269" s="176">
        <v>2</v>
      </c>
      <c r="R269" s="176">
        <v>0</v>
      </c>
      <c r="S269" s="156"/>
      <c r="T269" s="176" t="s">
        <v>111</v>
      </c>
      <c r="U269" s="182">
        <f t="shared" si="80"/>
        <v>0</v>
      </c>
      <c r="V269" s="178"/>
      <c r="W269" s="182">
        <f t="shared" si="78"/>
        <v>0</v>
      </c>
      <c r="X269" s="178"/>
      <c r="Y269" s="182">
        <f t="shared" si="79"/>
        <v>0</v>
      </c>
      <c r="Z269" s="183"/>
      <c r="AA269" s="158"/>
      <c r="AB269" s="158"/>
      <c r="AC269" s="158"/>
    </row>
    <row r="270" spans="1:29" ht="18" customHeight="1" x14ac:dyDescent="0.2">
      <c r="A270" s="163"/>
      <c r="B270" s="189" t="s">
        <v>93</v>
      </c>
      <c r="C270" s="195">
        <f>IF($J$1="January",Q263,IF($J$1="February",Q264,IF($J$1="March",Q265,IF($J$1="April",Q266,IF($J$1="May",Q267,IF($J$1="June",Q268,IF($J$1="July",Q269,IF($J$1="August",Q270,IF($J$1="August",Q270,IF($J$1="September",Q271,IF($J$1="October",Q272,IF($J$1="November",Q273,IF($J$1="December",Q274)))))))))))))</f>
        <v>2</v>
      </c>
      <c r="D270" s="149"/>
      <c r="E270" s="149"/>
      <c r="F270" s="189" t="s">
        <v>11</v>
      </c>
      <c r="G270" s="190">
        <f>IF($J$1="January",X263,IF($J$1="February",X264,IF($J$1="March",X265,IF($J$1="April",X266,IF($J$1="May",X267,IF($J$1="June",X268,IF($J$1="July",X269,IF($J$1="August",X270,IF($J$1="August",X270,IF($J$1="September",X271,IF($J$1="October",X272,IF($J$1="November",X273,IF($J$1="December",X274)))))))))))))</f>
        <v>0</v>
      </c>
      <c r="H270" s="187"/>
      <c r="I270" s="528" t="s">
        <v>112</v>
      </c>
      <c r="J270" s="503"/>
      <c r="K270" s="190">
        <f>G270</f>
        <v>0</v>
      </c>
      <c r="L270" s="196"/>
      <c r="M270" s="158"/>
      <c r="N270" s="175"/>
      <c r="O270" s="176" t="s">
        <v>113</v>
      </c>
      <c r="P270" s="176">
        <v>31</v>
      </c>
      <c r="Q270" s="176">
        <v>0</v>
      </c>
      <c r="R270" s="176">
        <v>0</v>
      </c>
      <c r="S270" s="156"/>
      <c r="T270" s="176" t="s">
        <v>113</v>
      </c>
      <c r="U270" s="182">
        <f t="shared" si="80"/>
        <v>0</v>
      </c>
      <c r="V270" s="178"/>
      <c r="W270" s="182">
        <f t="shared" si="78"/>
        <v>0</v>
      </c>
      <c r="X270" s="178"/>
      <c r="Y270" s="182">
        <f t="shared" si="79"/>
        <v>0</v>
      </c>
      <c r="Z270" s="183"/>
      <c r="AA270" s="158"/>
      <c r="AB270" s="158"/>
      <c r="AC270" s="158"/>
    </row>
    <row r="271" spans="1:29" ht="18" customHeight="1" x14ac:dyDescent="0.2">
      <c r="A271" s="163"/>
      <c r="B271" s="204" t="s">
        <v>114</v>
      </c>
      <c r="C271" s="195">
        <f>IF($J$1="January",R263,IF($J$1="February",R264,IF($J$1="March",R265,IF($J$1="April",R266,IF($J$1="May",R267,IF($J$1="June",R268,IF($J$1="July",R269,IF($J$1="August",R270,IF($J$1="August",R270,IF($J$1="September",R271,IF($J$1="October",R272,IF($J$1="November",R273,IF($J$1="December",R274)))))))))))))</f>
        <v>0</v>
      </c>
      <c r="D271" s="149"/>
      <c r="E271" s="149"/>
      <c r="F271" s="204" t="s">
        <v>115</v>
      </c>
      <c r="G271" s="190">
        <f>IF($J$1="January",Y263,IF($J$1="February",Y264,IF($J$1="March",Y265,IF($J$1="April",Y266,IF($J$1="May",Y267,IF($J$1="June",Y268,IF($J$1="July",Y269,IF($J$1="August",Y270,IF($J$1="August",Y270,IF($J$1="September",Y271,IF($J$1="October",Y272,IF($J$1="November",Y273,IF($J$1="December",Y274)))))))))))))</f>
        <v>0</v>
      </c>
      <c r="H271" s="149"/>
      <c r="I271" s="529" t="s">
        <v>13</v>
      </c>
      <c r="J271" s="503"/>
      <c r="K271" s="37">
        <f>K269-K270</f>
        <v>36750</v>
      </c>
      <c r="L271" s="180"/>
      <c r="M271" s="158"/>
      <c r="N271" s="175"/>
      <c r="O271" s="176" t="s">
        <v>116</v>
      </c>
      <c r="P271" s="176">
        <v>28</v>
      </c>
      <c r="Q271" s="176">
        <v>2</v>
      </c>
      <c r="R271" s="176">
        <v>0</v>
      </c>
      <c r="S271" s="156"/>
      <c r="T271" s="176" t="s">
        <v>116</v>
      </c>
      <c r="U271" s="182">
        <f t="shared" si="80"/>
        <v>0</v>
      </c>
      <c r="V271" s="178"/>
      <c r="W271" s="182">
        <f t="shared" si="78"/>
        <v>0</v>
      </c>
      <c r="X271" s="178"/>
      <c r="Y271" s="182">
        <f t="shared" si="79"/>
        <v>0</v>
      </c>
      <c r="Z271" s="183"/>
      <c r="AA271" s="158"/>
      <c r="AB271" s="158"/>
      <c r="AC271" s="158"/>
    </row>
    <row r="272" spans="1:29" ht="18" customHeight="1" x14ac:dyDescent="0.2">
      <c r="A272" s="163"/>
      <c r="B272" s="149"/>
      <c r="C272" s="149"/>
      <c r="D272" s="149"/>
      <c r="E272" s="149"/>
      <c r="F272" s="149"/>
      <c r="G272" s="149"/>
      <c r="H272" s="149"/>
      <c r="I272" s="530"/>
      <c r="J272" s="531"/>
      <c r="K272" s="151"/>
      <c r="L272" s="186"/>
      <c r="M272" s="158"/>
      <c r="N272" s="175"/>
      <c r="O272" s="176" t="s">
        <v>117</v>
      </c>
      <c r="P272" s="176"/>
      <c r="Q272" s="176"/>
      <c r="R272" s="176">
        <v>0</v>
      </c>
      <c r="S272" s="156"/>
      <c r="T272" s="176" t="s">
        <v>117</v>
      </c>
      <c r="U272" s="182">
        <f t="shared" si="80"/>
        <v>0</v>
      </c>
      <c r="V272" s="178"/>
      <c r="W272" s="182">
        <f t="shared" si="78"/>
        <v>0</v>
      </c>
      <c r="X272" s="178"/>
      <c r="Y272" s="182">
        <f t="shared" si="79"/>
        <v>0</v>
      </c>
      <c r="Z272" s="183"/>
      <c r="AA272" s="158"/>
      <c r="AB272" s="158"/>
      <c r="AC272" s="158"/>
    </row>
    <row r="273" spans="1:29" ht="18" customHeight="1" x14ac:dyDescent="0.3">
      <c r="A273" s="163"/>
      <c r="B273" s="147"/>
      <c r="C273" s="147"/>
      <c r="D273" s="147"/>
      <c r="E273" s="147"/>
      <c r="F273" s="147"/>
      <c r="G273" s="147"/>
      <c r="H273" s="147"/>
      <c r="I273" s="530"/>
      <c r="J273" s="531"/>
      <c r="K273" s="151"/>
      <c r="L273" s="186"/>
      <c r="M273" s="158"/>
      <c r="N273" s="175"/>
      <c r="O273" s="176" t="s">
        <v>118</v>
      </c>
      <c r="P273" s="176"/>
      <c r="Q273" s="176"/>
      <c r="R273" s="176">
        <v>0</v>
      </c>
      <c r="S273" s="156"/>
      <c r="T273" s="176" t="s">
        <v>118</v>
      </c>
      <c r="U273" s="182">
        <f t="shared" si="80"/>
        <v>0</v>
      </c>
      <c r="V273" s="178"/>
      <c r="W273" s="182">
        <f t="shared" si="78"/>
        <v>0</v>
      </c>
      <c r="X273" s="178"/>
      <c r="Y273" s="182">
        <f t="shared" si="79"/>
        <v>0</v>
      </c>
      <c r="Z273" s="183"/>
      <c r="AA273" s="158"/>
      <c r="AB273" s="158"/>
      <c r="AC273" s="158"/>
    </row>
    <row r="274" spans="1:29" ht="18" customHeight="1" thickBot="1" x14ac:dyDescent="0.35">
      <c r="A274" s="197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9"/>
      <c r="M274" s="158"/>
      <c r="N274" s="175"/>
      <c r="O274" s="176" t="s">
        <v>119</v>
      </c>
      <c r="P274" s="176"/>
      <c r="Q274" s="176"/>
      <c r="R274" s="176">
        <v>0</v>
      </c>
      <c r="S274" s="156"/>
      <c r="T274" s="176" t="s">
        <v>119</v>
      </c>
      <c r="U274" s="182">
        <f t="shared" si="80"/>
        <v>0</v>
      </c>
      <c r="V274" s="178"/>
      <c r="W274" s="182">
        <f t="shared" si="78"/>
        <v>0</v>
      </c>
      <c r="X274" s="178"/>
      <c r="Y274" s="182">
        <f t="shared" si="79"/>
        <v>0</v>
      </c>
      <c r="Z274" s="183"/>
      <c r="AA274" s="158"/>
      <c r="AB274" s="158"/>
      <c r="AC274" s="158"/>
    </row>
    <row r="275" spans="1:29" ht="18" customHeight="1" thickBot="1" x14ac:dyDescent="0.25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1"/>
      <c r="N275" s="202"/>
      <c r="O275" s="202"/>
      <c r="P275" s="202"/>
      <c r="Q275" s="202"/>
      <c r="R275" s="202"/>
      <c r="S275" s="202"/>
      <c r="T275" s="202"/>
      <c r="U275" s="202"/>
      <c r="V275" s="202"/>
      <c r="W275" s="202"/>
      <c r="X275" s="202"/>
      <c r="Y275" s="202"/>
      <c r="Z275" s="202"/>
      <c r="AA275" s="201"/>
      <c r="AB275" s="201"/>
      <c r="AC275" s="201"/>
    </row>
    <row r="276" spans="1:29" ht="18" customHeight="1" thickBot="1" x14ac:dyDescent="0.25">
      <c r="A276" s="532" t="s">
        <v>87</v>
      </c>
      <c r="B276" s="533"/>
      <c r="C276" s="533"/>
      <c r="D276" s="533"/>
      <c r="E276" s="533"/>
      <c r="F276" s="533"/>
      <c r="G276" s="533"/>
      <c r="H276" s="533"/>
      <c r="I276" s="533"/>
      <c r="J276" s="533"/>
      <c r="K276" s="533"/>
      <c r="L276" s="534"/>
      <c r="M276" s="159"/>
      <c r="N276" s="160"/>
      <c r="O276" s="524" t="s">
        <v>88</v>
      </c>
      <c r="P276" s="525"/>
      <c r="Q276" s="525"/>
      <c r="R276" s="526"/>
      <c r="S276" s="161"/>
      <c r="T276" s="524" t="s">
        <v>89</v>
      </c>
      <c r="U276" s="525"/>
      <c r="V276" s="525"/>
      <c r="W276" s="525"/>
      <c r="X276" s="525"/>
      <c r="Y276" s="526"/>
      <c r="Z276" s="162"/>
      <c r="AA276" s="159"/>
      <c r="AB276" s="158"/>
      <c r="AC276" s="158"/>
    </row>
    <row r="277" spans="1:29" ht="18" customHeight="1" x14ac:dyDescent="0.2">
      <c r="A277" s="163"/>
      <c r="B277" s="149"/>
      <c r="C277" s="535" t="s">
        <v>150</v>
      </c>
      <c r="D277" s="531"/>
      <c r="E277" s="531"/>
      <c r="F277" s="531"/>
      <c r="G277" s="164" t="str">
        <f>$J$1</f>
        <v>September</v>
      </c>
      <c r="H277" s="536">
        <f>$K$1</f>
        <v>2024</v>
      </c>
      <c r="I277" s="531"/>
      <c r="J277" s="149"/>
      <c r="K277" s="165"/>
      <c r="L277" s="166"/>
      <c r="M277" s="167"/>
      <c r="N277" s="168"/>
      <c r="O277" s="169" t="s">
        <v>91</v>
      </c>
      <c r="P277" s="169" t="s">
        <v>92</v>
      </c>
      <c r="Q277" s="169" t="s">
        <v>93</v>
      </c>
      <c r="R277" s="169" t="s">
        <v>94</v>
      </c>
      <c r="S277" s="170"/>
      <c r="T277" s="169" t="s">
        <v>91</v>
      </c>
      <c r="U277" s="169" t="s">
        <v>95</v>
      </c>
      <c r="V277" s="169" t="s">
        <v>9</v>
      </c>
      <c r="W277" s="169" t="s">
        <v>10</v>
      </c>
      <c r="X277" s="169" t="s">
        <v>11</v>
      </c>
      <c r="Y277" s="169" t="s">
        <v>96</v>
      </c>
      <c r="Z277" s="171"/>
      <c r="AA277" s="167"/>
      <c r="AB277" s="158"/>
      <c r="AC277" s="158"/>
    </row>
    <row r="278" spans="1:29" ht="18" customHeight="1" x14ac:dyDescent="0.2">
      <c r="A278" s="163"/>
      <c r="B278" s="149"/>
      <c r="C278" s="149"/>
      <c r="D278" s="172"/>
      <c r="E278" s="172"/>
      <c r="F278" s="172"/>
      <c r="G278" s="172"/>
      <c r="H278" s="172"/>
      <c r="I278" s="149"/>
      <c r="J278" s="173" t="s">
        <v>97</v>
      </c>
      <c r="K278" s="151">
        <f>32000+3000+15000</f>
        <v>50000</v>
      </c>
      <c r="L278" s="174"/>
      <c r="M278" s="158"/>
      <c r="N278" s="175"/>
      <c r="O278" s="176" t="s">
        <v>98</v>
      </c>
      <c r="P278" s="176">
        <v>30</v>
      </c>
      <c r="Q278" s="176">
        <v>1</v>
      </c>
      <c r="R278" s="176">
        <f>9-Q278</f>
        <v>8</v>
      </c>
      <c r="S278" s="177"/>
      <c r="T278" s="176" t="s">
        <v>98</v>
      </c>
      <c r="U278" s="178">
        <v>61870</v>
      </c>
      <c r="V278" s="178"/>
      <c r="W278" s="178">
        <f>V278+U278</f>
        <v>61870</v>
      </c>
      <c r="X278" s="178">
        <v>5000</v>
      </c>
      <c r="Y278" s="178">
        <f>W278-X278</f>
        <v>56870</v>
      </c>
      <c r="Z278" s="171"/>
      <c r="AA278" s="158"/>
      <c r="AB278" s="158"/>
      <c r="AC278" s="158"/>
    </row>
    <row r="279" spans="1:29" ht="18" customHeight="1" x14ac:dyDescent="0.2">
      <c r="A279" s="163"/>
      <c r="B279" s="149" t="s">
        <v>99</v>
      </c>
      <c r="C279" s="148" t="s">
        <v>151</v>
      </c>
      <c r="D279" s="149"/>
      <c r="E279" s="149"/>
      <c r="F279" s="149"/>
      <c r="G279" s="149"/>
      <c r="H279" s="179"/>
      <c r="I279" s="172"/>
      <c r="J279" s="149"/>
      <c r="K279" s="149"/>
      <c r="L279" s="180"/>
      <c r="M279" s="159"/>
      <c r="N279" s="181"/>
      <c r="O279" s="176" t="s">
        <v>100</v>
      </c>
      <c r="P279" s="176">
        <v>29</v>
      </c>
      <c r="Q279" s="176">
        <v>0</v>
      </c>
      <c r="R279" s="176">
        <f t="shared" ref="R279:R289" si="81">R278-Q279</f>
        <v>8</v>
      </c>
      <c r="S279" s="156"/>
      <c r="T279" s="176" t="s">
        <v>100</v>
      </c>
      <c r="U279" s="182">
        <f t="shared" ref="U279:U280" si="82">Y278</f>
        <v>56870</v>
      </c>
      <c r="V279" s="178">
        <v>4000</v>
      </c>
      <c r="W279" s="182">
        <f t="shared" ref="W279:W289" si="83">IF(U279="","",U279+V279)</f>
        <v>60870</v>
      </c>
      <c r="X279" s="178">
        <v>5000</v>
      </c>
      <c r="Y279" s="182">
        <f t="shared" ref="Y279:Y289" si="84">IF(W279="","",W279-X279)</f>
        <v>55870</v>
      </c>
      <c r="Z279" s="183"/>
      <c r="AA279" s="159"/>
      <c r="AB279" s="158"/>
      <c r="AC279" s="158"/>
    </row>
    <row r="280" spans="1:29" ht="18" customHeight="1" x14ac:dyDescent="0.2">
      <c r="A280" s="163"/>
      <c r="B280" s="184" t="s">
        <v>101</v>
      </c>
      <c r="C280" s="185"/>
      <c r="D280" s="149"/>
      <c r="E280" s="149"/>
      <c r="F280" s="529" t="s">
        <v>89</v>
      </c>
      <c r="G280" s="503"/>
      <c r="H280" s="149"/>
      <c r="I280" s="529" t="s">
        <v>102</v>
      </c>
      <c r="J280" s="502"/>
      <c r="K280" s="503"/>
      <c r="L280" s="186"/>
      <c r="M280" s="158"/>
      <c r="N280" s="175"/>
      <c r="O280" s="176" t="s">
        <v>103</v>
      </c>
      <c r="P280" s="176">
        <v>29</v>
      </c>
      <c r="Q280" s="176">
        <v>1</v>
      </c>
      <c r="R280" s="176">
        <f t="shared" si="81"/>
        <v>7</v>
      </c>
      <c r="S280" s="156"/>
      <c r="T280" s="176" t="s">
        <v>103</v>
      </c>
      <c r="U280" s="182">
        <f t="shared" si="82"/>
        <v>55870</v>
      </c>
      <c r="V280" s="178"/>
      <c r="W280" s="182">
        <f t="shared" si="83"/>
        <v>55870</v>
      </c>
      <c r="X280" s="178">
        <v>5000</v>
      </c>
      <c r="Y280" s="182">
        <f t="shared" si="84"/>
        <v>50870</v>
      </c>
      <c r="Z280" s="183"/>
      <c r="AA280" s="158"/>
      <c r="AB280" s="158"/>
      <c r="AC280" s="158"/>
    </row>
    <row r="281" spans="1:29" ht="18" customHeight="1" x14ac:dyDescent="0.2">
      <c r="A281" s="163"/>
      <c r="B281" s="149"/>
      <c r="C281" s="149"/>
      <c r="D281" s="149"/>
      <c r="E281" s="149"/>
      <c r="F281" s="149"/>
      <c r="G281" s="149"/>
      <c r="H281" s="187"/>
      <c r="I281" s="149"/>
      <c r="J281" s="149"/>
      <c r="K281" s="149"/>
      <c r="L281" s="188"/>
      <c r="M281" s="158"/>
      <c r="N281" s="175"/>
      <c r="O281" s="176" t="s">
        <v>104</v>
      </c>
      <c r="P281" s="176">
        <v>29</v>
      </c>
      <c r="Q281" s="176">
        <v>1</v>
      </c>
      <c r="R281" s="176">
        <f t="shared" si="81"/>
        <v>6</v>
      </c>
      <c r="S281" s="156"/>
      <c r="T281" s="176" t="s">
        <v>104</v>
      </c>
      <c r="U281" s="182">
        <f>IF($J$1="March","",Y280)</f>
        <v>50870</v>
      </c>
      <c r="V281" s="178">
        <v>100000</v>
      </c>
      <c r="W281" s="182">
        <f t="shared" si="83"/>
        <v>150870</v>
      </c>
      <c r="X281" s="178">
        <v>5000</v>
      </c>
      <c r="Y281" s="182">
        <f t="shared" si="84"/>
        <v>145870</v>
      </c>
      <c r="Z281" s="183"/>
      <c r="AA281" s="158"/>
      <c r="AB281" s="158"/>
      <c r="AC281" s="158"/>
    </row>
    <row r="282" spans="1:29" ht="18" customHeight="1" x14ac:dyDescent="0.2">
      <c r="A282" s="163"/>
      <c r="B282" s="527" t="s">
        <v>88</v>
      </c>
      <c r="C282" s="503"/>
      <c r="D282" s="149"/>
      <c r="E282" s="149"/>
      <c r="F282" s="189" t="s">
        <v>105</v>
      </c>
      <c r="G282" s="190">
        <f>IF($J$1="January",U278,IF($J$1="February",U279,IF($J$1="March",U280,IF($J$1="April",U281,IF($J$1="May",U282,IF($J$1="June",U283,IF($J$1="July",U284,IF($J$1="August",U285,IF($J$1="August",U285,IF($J$1="September",U286,IF($J$1="October",U287,IF($J$1="November",U288,IF($J$1="December",U289)))))))))))))</f>
        <v>127870</v>
      </c>
      <c r="H282" s="187"/>
      <c r="I282" s="191">
        <f>IF(C286&gt;=C285,$K$2,C284+C286)</f>
        <v>30</v>
      </c>
      <c r="J282" s="192" t="s">
        <v>106</v>
      </c>
      <c r="K282" s="193">
        <f>K278/$K$2*I282</f>
        <v>50000</v>
      </c>
      <c r="L282" s="194"/>
      <c r="M282" s="158"/>
      <c r="N282" s="175"/>
      <c r="O282" s="176" t="s">
        <v>107</v>
      </c>
      <c r="P282" s="176">
        <v>29</v>
      </c>
      <c r="Q282" s="176">
        <v>2</v>
      </c>
      <c r="R282" s="176">
        <f t="shared" si="81"/>
        <v>4</v>
      </c>
      <c r="S282" s="156"/>
      <c r="T282" s="176" t="s">
        <v>107</v>
      </c>
      <c r="U282" s="182">
        <f t="shared" ref="U282:U283" si="85">Y281</f>
        <v>145870</v>
      </c>
      <c r="V282" s="178"/>
      <c r="W282" s="182">
        <f t="shared" si="83"/>
        <v>145870</v>
      </c>
      <c r="X282" s="178">
        <v>5000</v>
      </c>
      <c r="Y282" s="182">
        <f t="shared" si="84"/>
        <v>140870</v>
      </c>
      <c r="Z282" s="183"/>
      <c r="AA282" s="158"/>
      <c r="AB282" s="158"/>
      <c r="AC282" s="158"/>
    </row>
    <row r="283" spans="1:29" ht="18" customHeight="1" x14ac:dyDescent="0.2">
      <c r="A283" s="163"/>
      <c r="B283" s="195"/>
      <c r="C283" s="195"/>
      <c r="D283" s="149"/>
      <c r="E283" s="149"/>
      <c r="F283" s="189" t="s">
        <v>9</v>
      </c>
      <c r="G283" s="190">
        <f>IF($J$1="January",V278,IF($J$1="February",V279,IF($J$1="March",V280,IF($J$1="April",V281,IF($J$1="May",V282,IF($J$1="June",V283,IF($J$1="July",V284,IF($J$1="August",V285,IF($J$1="August",V285,IF($J$1="September",V286,IF($J$1="October",V287,IF($J$1="November",V288,IF($J$1="December",V289)))))))))))))</f>
        <v>9870</v>
      </c>
      <c r="H283" s="187"/>
      <c r="I283" s="211">
        <v>14</v>
      </c>
      <c r="J283" s="192" t="s">
        <v>108</v>
      </c>
      <c r="K283" s="190">
        <f>K278/$K$2/8*I283</f>
        <v>2916.666666666667</v>
      </c>
      <c r="L283" s="196"/>
      <c r="M283" s="158"/>
      <c r="N283" s="175"/>
      <c r="O283" s="176" t="s">
        <v>84</v>
      </c>
      <c r="P283" s="176">
        <v>28</v>
      </c>
      <c r="Q283" s="176">
        <v>2</v>
      </c>
      <c r="R283" s="176">
        <f t="shared" si="81"/>
        <v>2</v>
      </c>
      <c r="S283" s="156"/>
      <c r="T283" s="176" t="s">
        <v>84</v>
      </c>
      <c r="U283" s="182">
        <f t="shared" si="85"/>
        <v>140870</v>
      </c>
      <c r="V283" s="178"/>
      <c r="W283" s="182">
        <f t="shared" si="83"/>
        <v>140870</v>
      </c>
      <c r="X283" s="178">
        <v>5000</v>
      </c>
      <c r="Y283" s="182">
        <f t="shared" si="84"/>
        <v>135870</v>
      </c>
      <c r="Z283" s="183"/>
      <c r="AA283" s="158"/>
      <c r="AB283" s="158"/>
      <c r="AC283" s="158"/>
    </row>
    <row r="284" spans="1:29" ht="18" customHeight="1" x14ac:dyDescent="0.2">
      <c r="A284" s="163"/>
      <c r="B284" s="189" t="s">
        <v>92</v>
      </c>
      <c r="C284" s="195">
        <f>IF($J$1="January",P278,IF($J$1="February",P279,IF($J$1="March",P280,IF($J$1="April",P281,IF($J$1="May",P282,IF($J$1="June",P283,IF($J$1="July",P284,IF($J$1="August",P285,IF($J$1="August",P285,IF($J$1="September",P286,IF($J$1="October",P287,IF($J$1="November",P288,IF($J$1="December",P289)))))))))))))</f>
        <v>30</v>
      </c>
      <c r="D284" s="149"/>
      <c r="E284" s="149"/>
      <c r="F284" s="189" t="s">
        <v>109</v>
      </c>
      <c r="G284" s="190">
        <f>IF($J$1="January",W278,IF($J$1="February",W279,IF($J$1="March",W280,IF($J$1="April",W281,IF($J$1="May",W282,IF($J$1="June",W283,IF($J$1="July",W284,IF($J$1="August",W285,IF($J$1="August",W285,IF($J$1="September",W286,IF($J$1="October",W287,IF($J$1="November",W288,IF($J$1="December",W289)))))))))))))</f>
        <v>137740</v>
      </c>
      <c r="H284" s="187"/>
      <c r="I284" s="528" t="s">
        <v>110</v>
      </c>
      <c r="J284" s="503"/>
      <c r="K284" s="190">
        <f>K282+K283</f>
        <v>52916.666666666664</v>
      </c>
      <c r="L284" s="196"/>
      <c r="M284" s="158"/>
      <c r="N284" s="175"/>
      <c r="O284" s="176" t="s">
        <v>111</v>
      </c>
      <c r="P284" s="176">
        <v>30</v>
      </c>
      <c r="Q284" s="176">
        <v>1</v>
      </c>
      <c r="R284" s="176">
        <f t="shared" si="81"/>
        <v>1</v>
      </c>
      <c r="S284" s="156"/>
      <c r="T284" s="176" t="s">
        <v>111</v>
      </c>
      <c r="U284" s="182">
        <f>Y283</f>
        <v>135870</v>
      </c>
      <c r="V284" s="178"/>
      <c r="W284" s="182">
        <f t="shared" si="83"/>
        <v>135870</v>
      </c>
      <c r="X284" s="178">
        <v>5000</v>
      </c>
      <c r="Y284" s="182">
        <f t="shared" si="84"/>
        <v>130870</v>
      </c>
      <c r="Z284" s="183"/>
      <c r="AA284" s="158"/>
      <c r="AB284" s="158"/>
      <c r="AC284" s="158"/>
    </row>
    <row r="285" spans="1:29" ht="18" customHeight="1" x14ac:dyDescent="0.2">
      <c r="A285" s="163"/>
      <c r="B285" s="189" t="s">
        <v>93</v>
      </c>
      <c r="C285" s="195">
        <f>IF($J$1="January",Q278,IF($J$1="February",Q279,IF($J$1="March",Q280,IF($J$1="April",Q281,IF($J$1="May",Q282,IF($J$1="June",Q283,IF($J$1="July",Q284,IF($J$1="August",Q285,IF($J$1="August",Q285,IF($J$1="September",Q286,IF($J$1="October",Q287,IF($J$1="November",Q288,IF($J$1="December",Q289)))))))))))))</f>
        <v>0</v>
      </c>
      <c r="D285" s="149"/>
      <c r="E285" s="149"/>
      <c r="F285" s="189" t="s">
        <v>11</v>
      </c>
      <c r="G285" s="190">
        <f>IF($J$1="January",X278,IF($J$1="February",X279,IF($J$1="March",X280,IF($J$1="April",X281,IF($J$1="May",X282,IF($J$1="June",X283,IF($J$1="July",X284,IF($J$1="August",X285,IF($J$1="August",X285,IF($J$1="September",X286,IF($J$1="October",X287,IF($J$1="November",X288,IF($J$1="December",X289)))))))))))))</f>
        <v>5000</v>
      </c>
      <c r="H285" s="187"/>
      <c r="I285" s="528" t="s">
        <v>112</v>
      </c>
      <c r="J285" s="503"/>
      <c r="K285" s="190">
        <f>G285</f>
        <v>5000</v>
      </c>
      <c r="L285" s="196"/>
      <c r="M285" s="158"/>
      <c r="N285" s="175"/>
      <c r="O285" s="176" t="s">
        <v>113</v>
      </c>
      <c r="P285" s="176">
        <v>31</v>
      </c>
      <c r="Q285" s="176">
        <v>0</v>
      </c>
      <c r="R285" s="176">
        <f t="shared" si="81"/>
        <v>1</v>
      </c>
      <c r="S285" s="156"/>
      <c r="T285" s="176" t="s">
        <v>113</v>
      </c>
      <c r="U285" s="182">
        <f>Y284</f>
        <v>130870</v>
      </c>
      <c r="V285" s="178">
        <v>2000</v>
      </c>
      <c r="W285" s="182">
        <f t="shared" si="83"/>
        <v>132870</v>
      </c>
      <c r="X285" s="178">
        <v>5000</v>
      </c>
      <c r="Y285" s="182">
        <f t="shared" si="84"/>
        <v>127870</v>
      </c>
      <c r="Z285" s="183"/>
      <c r="AA285" s="158"/>
      <c r="AB285" s="158"/>
      <c r="AC285" s="158"/>
    </row>
    <row r="286" spans="1:29" ht="18" customHeight="1" x14ac:dyDescent="0.2">
      <c r="A286" s="163"/>
      <c r="B286" s="204" t="s">
        <v>114</v>
      </c>
      <c r="C286" s="195">
        <f>IF($J$1="January",R278,IF($J$1="February",R279,IF($J$1="March",R280,IF($J$1="April",R281,IF($J$1="May",R282,IF($J$1="June",R283,IF($J$1="July",R284,IF($J$1="August",R285,IF($J$1="August",R285,IF($J$1="September",R286,IF($J$1="October",R287,IF($J$1="November",R288,IF($J$1="December",R289)))))))))))))</f>
        <v>1</v>
      </c>
      <c r="D286" s="149"/>
      <c r="E286" s="149"/>
      <c r="F286" s="204" t="s">
        <v>115</v>
      </c>
      <c r="G286" s="190">
        <f>IF($J$1="January",Y278,IF($J$1="February",Y279,IF($J$1="March",Y280,IF($J$1="April",Y281,IF($J$1="May",Y282,IF($J$1="June",Y283,IF($J$1="July",Y284,IF($J$1="August",Y285,IF($J$1="August",Y285,IF($J$1="September",Y286,IF($J$1="October",Y287,IF($J$1="November",Y288,IF($J$1="December",Y289)))))))))))))</f>
        <v>132740</v>
      </c>
      <c r="H286" s="149"/>
      <c r="I286" s="529" t="s">
        <v>13</v>
      </c>
      <c r="J286" s="503"/>
      <c r="K286" s="37">
        <f>K284-K285</f>
        <v>47916.666666666664</v>
      </c>
      <c r="L286" s="180"/>
      <c r="M286" s="158"/>
      <c r="N286" s="175"/>
      <c r="O286" s="176" t="s">
        <v>116</v>
      </c>
      <c r="P286" s="176">
        <v>30</v>
      </c>
      <c r="Q286" s="176">
        <v>0</v>
      </c>
      <c r="R286" s="176">
        <f t="shared" si="81"/>
        <v>1</v>
      </c>
      <c r="S286" s="156"/>
      <c r="T286" s="176" t="s">
        <v>116</v>
      </c>
      <c r="U286" s="182">
        <f>Y285</f>
        <v>127870</v>
      </c>
      <c r="V286" s="178">
        <v>9870</v>
      </c>
      <c r="W286" s="182">
        <f t="shared" si="83"/>
        <v>137740</v>
      </c>
      <c r="X286" s="178">
        <v>5000</v>
      </c>
      <c r="Y286" s="182">
        <f t="shared" si="84"/>
        <v>132740</v>
      </c>
      <c r="Z286" s="183"/>
      <c r="AA286" s="158"/>
      <c r="AB286" s="158"/>
      <c r="AC286" s="158"/>
    </row>
    <row r="287" spans="1:29" ht="18" customHeight="1" x14ac:dyDescent="0.2">
      <c r="A287" s="163"/>
      <c r="B287" s="149"/>
      <c r="C287" s="149"/>
      <c r="D287" s="149"/>
      <c r="E287" s="149"/>
      <c r="F287" s="149"/>
      <c r="G287" s="149"/>
      <c r="H287" s="149"/>
      <c r="I287" s="530"/>
      <c r="J287" s="531"/>
      <c r="K287" s="151"/>
      <c r="L287" s="186"/>
      <c r="M287" s="158"/>
      <c r="N287" s="175"/>
      <c r="O287" s="176" t="s">
        <v>117</v>
      </c>
      <c r="P287" s="205"/>
      <c r="Q287" s="205"/>
      <c r="R287" s="176">
        <f t="shared" si="81"/>
        <v>1</v>
      </c>
      <c r="S287" s="156"/>
      <c r="T287" s="176" t="s">
        <v>117</v>
      </c>
      <c r="U287" s="182"/>
      <c r="V287" s="178"/>
      <c r="W287" s="182" t="str">
        <f t="shared" si="83"/>
        <v/>
      </c>
      <c r="X287" s="178"/>
      <c r="Y287" s="182" t="str">
        <f t="shared" si="84"/>
        <v/>
      </c>
      <c r="Z287" s="183"/>
      <c r="AA287" s="158"/>
      <c r="AB287" s="158"/>
      <c r="AC287" s="158"/>
    </row>
    <row r="288" spans="1:29" ht="18" customHeight="1" x14ac:dyDescent="0.3">
      <c r="A288" s="163"/>
      <c r="B288" s="147"/>
      <c r="C288" s="147"/>
      <c r="D288" s="147"/>
      <c r="E288" s="147"/>
      <c r="F288" s="147"/>
      <c r="G288" s="147"/>
      <c r="H288" s="147"/>
      <c r="I288" s="530"/>
      <c r="J288" s="531"/>
      <c r="K288" s="151"/>
      <c r="L288" s="186"/>
      <c r="M288" s="158"/>
      <c r="N288" s="175"/>
      <c r="O288" s="176" t="s">
        <v>118</v>
      </c>
      <c r="P288" s="176"/>
      <c r="Q288" s="176"/>
      <c r="R288" s="176">
        <f t="shared" si="81"/>
        <v>1</v>
      </c>
      <c r="S288" s="156"/>
      <c r="T288" s="176" t="s">
        <v>118</v>
      </c>
      <c r="U288" s="182"/>
      <c r="V288" s="178"/>
      <c r="W288" s="182" t="str">
        <f t="shared" si="83"/>
        <v/>
      </c>
      <c r="X288" s="178"/>
      <c r="Y288" s="182" t="str">
        <f t="shared" si="84"/>
        <v/>
      </c>
      <c r="Z288" s="183"/>
      <c r="AA288" s="158"/>
      <c r="AB288" s="158"/>
      <c r="AC288" s="158"/>
    </row>
    <row r="289" spans="1:29" ht="18" customHeight="1" thickBot="1" x14ac:dyDescent="0.35">
      <c r="A289" s="197"/>
      <c r="B289" s="198"/>
      <c r="C289" s="198"/>
      <c r="D289" s="198"/>
      <c r="E289" s="198"/>
      <c r="F289" s="198"/>
      <c r="G289" s="198"/>
      <c r="H289" s="198"/>
      <c r="I289" s="578"/>
      <c r="J289" s="579"/>
      <c r="K289" s="441"/>
      <c r="L289" s="199"/>
      <c r="M289" s="158"/>
      <c r="N289" s="175"/>
      <c r="O289" s="176" t="s">
        <v>119</v>
      </c>
      <c r="P289" s="176"/>
      <c r="Q289" s="176"/>
      <c r="R289" s="176">
        <f t="shared" si="81"/>
        <v>1</v>
      </c>
      <c r="S289" s="156"/>
      <c r="T289" s="176" t="s">
        <v>119</v>
      </c>
      <c r="U289" s="182"/>
      <c r="V289" s="178"/>
      <c r="W289" s="182" t="str">
        <f t="shared" si="83"/>
        <v/>
      </c>
      <c r="X289" s="178"/>
      <c r="Y289" s="182" t="str">
        <f t="shared" si="84"/>
        <v/>
      </c>
      <c r="Z289" s="183"/>
      <c r="AA289" s="158"/>
      <c r="AB289" s="158"/>
      <c r="AC289" s="158"/>
    </row>
    <row r="290" spans="1:29" ht="18" customHeight="1" thickBot="1" x14ac:dyDescent="0.25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1"/>
      <c r="N290" s="202"/>
      <c r="O290" s="202"/>
      <c r="P290" s="202"/>
      <c r="Q290" s="202"/>
      <c r="R290" s="202"/>
      <c r="S290" s="202"/>
      <c r="T290" s="202"/>
      <c r="U290" s="202"/>
      <c r="V290" s="202"/>
      <c r="W290" s="202"/>
      <c r="X290" s="202"/>
      <c r="Y290" s="202"/>
      <c r="Z290" s="202"/>
      <c r="AA290" s="201"/>
      <c r="AB290" s="201"/>
      <c r="AC290" s="201"/>
    </row>
    <row r="291" spans="1:29" s="276" customFormat="1" ht="18" customHeight="1" thickBot="1" x14ac:dyDescent="0.25">
      <c r="A291" s="532" t="s">
        <v>87</v>
      </c>
      <c r="B291" s="580"/>
      <c r="C291" s="580"/>
      <c r="D291" s="580"/>
      <c r="E291" s="580"/>
      <c r="F291" s="580"/>
      <c r="G291" s="580"/>
      <c r="H291" s="580"/>
      <c r="I291" s="580"/>
      <c r="J291" s="580"/>
      <c r="K291" s="580"/>
      <c r="L291" s="581"/>
      <c r="M291" s="283"/>
      <c r="N291" s="284"/>
      <c r="O291" s="582" t="s">
        <v>88</v>
      </c>
      <c r="P291" s="583"/>
      <c r="Q291" s="583"/>
      <c r="R291" s="584"/>
      <c r="S291" s="285"/>
      <c r="T291" s="582" t="s">
        <v>89</v>
      </c>
      <c r="U291" s="583"/>
      <c r="V291" s="583"/>
      <c r="W291" s="583"/>
      <c r="X291" s="583"/>
      <c r="Y291" s="584"/>
      <c r="Z291" s="286"/>
      <c r="AA291" s="283"/>
      <c r="AB291" s="287"/>
      <c r="AC291" s="287"/>
    </row>
    <row r="292" spans="1:29" ht="18" customHeight="1" x14ac:dyDescent="0.2">
      <c r="A292" s="163"/>
      <c r="B292" s="149"/>
      <c r="C292" s="535" t="s">
        <v>152</v>
      </c>
      <c r="D292" s="531"/>
      <c r="E292" s="531"/>
      <c r="F292" s="531"/>
      <c r="G292" s="164" t="str">
        <f>$J$1</f>
        <v>September</v>
      </c>
      <c r="H292" s="536">
        <f>$K$1</f>
        <v>2024</v>
      </c>
      <c r="I292" s="531"/>
      <c r="J292" s="149"/>
      <c r="K292" s="165"/>
      <c r="L292" s="166"/>
      <c r="M292" s="167"/>
      <c r="N292" s="168"/>
      <c r="O292" s="169" t="s">
        <v>91</v>
      </c>
      <c r="P292" s="169" t="s">
        <v>92</v>
      </c>
      <c r="Q292" s="169" t="s">
        <v>93</v>
      </c>
      <c r="R292" s="169" t="s">
        <v>94</v>
      </c>
      <c r="S292" s="170"/>
      <c r="T292" s="169" t="s">
        <v>91</v>
      </c>
      <c r="U292" s="169" t="s">
        <v>95</v>
      </c>
      <c r="V292" s="169" t="s">
        <v>9</v>
      </c>
      <c r="W292" s="169" t="s">
        <v>10</v>
      </c>
      <c r="X292" s="169" t="s">
        <v>11</v>
      </c>
      <c r="Y292" s="169" t="s">
        <v>96</v>
      </c>
      <c r="Z292" s="171"/>
      <c r="AA292" s="167"/>
      <c r="AB292" s="158"/>
      <c r="AC292" s="158"/>
    </row>
    <row r="293" spans="1:29" ht="18" customHeight="1" x14ac:dyDescent="0.2">
      <c r="A293" s="163"/>
      <c r="B293" s="149"/>
      <c r="C293" s="149"/>
      <c r="D293" s="172"/>
      <c r="E293" s="172"/>
      <c r="F293" s="172"/>
      <c r="G293" s="172"/>
      <c r="H293" s="172"/>
      <c r="I293" s="149"/>
      <c r="J293" s="173" t="s">
        <v>97</v>
      </c>
      <c r="K293" s="151">
        <f>45000+20000+10000</f>
        <v>75000</v>
      </c>
      <c r="L293" s="174"/>
      <c r="M293" s="158"/>
      <c r="N293" s="175"/>
      <c r="O293" s="176" t="s">
        <v>98</v>
      </c>
      <c r="P293" s="176">
        <v>25</v>
      </c>
      <c r="Q293" s="176">
        <v>6</v>
      </c>
      <c r="R293" s="176">
        <f>15-Q293+6</f>
        <v>15</v>
      </c>
      <c r="S293" s="177"/>
      <c r="T293" s="176" t="s">
        <v>98</v>
      </c>
      <c r="U293" s="178">
        <v>12000</v>
      </c>
      <c r="V293" s="178"/>
      <c r="W293" s="178">
        <f t="shared" ref="W293:W295" si="86">V293+U293</f>
        <v>12000</v>
      </c>
      <c r="X293" s="178">
        <v>5000</v>
      </c>
      <c r="Y293" s="178">
        <f>W293-X293</f>
        <v>7000</v>
      </c>
      <c r="Z293" s="171"/>
      <c r="AA293" s="158"/>
      <c r="AB293" s="158"/>
      <c r="AC293" s="158"/>
    </row>
    <row r="294" spans="1:29" ht="18" customHeight="1" x14ac:dyDescent="0.2">
      <c r="A294" s="163"/>
      <c r="B294" s="149" t="s">
        <v>99</v>
      </c>
      <c r="C294" s="148" t="s">
        <v>153</v>
      </c>
      <c r="D294" s="149"/>
      <c r="E294" s="149"/>
      <c r="F294" s="149"/>
      <c r="G294" s="149"/>
      <c r="H294" s="179"/>
      <c r="I294" s="172"/>
      <c r="J294" s="149"/>
      <c r="K294" s="149"/>
      <c r="L294" s="180"/>
      <c r="M294" s="159"/>
      <c r="N294" s="181"/>
      <c r="O294" s="176" t="s">
        <v>100</v>
      </c>
      <c r="P294" s="176">
        <v>1</v>
      </c>
      <c r="Q294" s="176"/>
      <c r="R294" s="176">
        <f>R293-Q294</f>
        <v>15</v>
      </c>
      <c r="S294" s="156"/>
      <c r="T294" s="176" t="s">
        <v>100</v>
      </c>
      <c r="U294" s="182">
        <f t="shared" ref="U294:U295" si="87">Y293</f>
        <v>7000</v>
      </c>
      <c r="V294" s="178">
        <v>15000</v>
      </c>
      <c r="W294" s="178">
        <f t="shared" si="86"/>
        <v>22000</v>
      </c>
      <c r="X294" s="178"/>
      <c r="Y294" s="182">
        <f t="shared" ref="Y294:Y304" si="88">IF(W294="","",W294-X294)</f>
        <v>22000</v>
      </c>
      <c r="Z294" s="183"/>
      <c r="AA294" s="159"/>
      <c r="AB294" s="158"/>
      <c r="AC294" s="158"/>
    </row>
    <row r="295" spans="1:29" ht="18" customHeight="1" x14ac:dyDescent="0.2">
      <c r="A295" s="163"/>
      <c r="B295" s="184" t="s">
        <v>101</v>
      </c>
      <c r="C295" s="185"/>
      <c r="D295" s="149"/>
      <c r="E295" s="149"/>
      <c r="F295" s="529" t="s">
        <v>89</v>
      </c>
      <c r="G295" s="503"/>
      <c r="H295" s="149"/>
      <c r="I295" s="529" t="s">
        <v>102</v>
      </c>
      <c r="J295" s="502"/>
      <c r="K295" s="503"/>
      <c r="L295" s="186"/>
      <c r="M295" s="158"/>
      <c r="N295" s="175"/>
      <c r="O295" s="176" t="s">
        <v>103</v>
      </c>
      <c r="P295" s="176">
        <f>31-Q295</f>
        <v>18</v>
      </c>
      <c r="Q295" s="176">
        <v>13</v>
      </c>
      <c r="R295" s="176">
        <f>R294-Q295+13-3</f>
        <v>12</v>
      </c>
      <c r="S295" s="156"/>
      <c r="T295" s="176" t="s">
        <v>103</v>
      </c>
      <c r="U295" s="182">
        <f t="shared" si="87"/>
        <v>22000</v>
      </c>
      <c r="V295" s="178"/>
      <c r="W295" s="178">
        <f t="shared" si="86"/>
        <v>22000</v>
      </c>
      <c r="X295" s="178"/>
      <c r="Y295" s="182">
        <f t="shared" si="88"/>
        <v>22000</v>
      </c>
      <c r="Z295" s="183"/>
      <c r="AA295" s="158"/>
      <c r="AB295" s="158"/>
      <c r="AC295" s="158"/>
    </row>
    <row r="296" spans="1:29" ht="18" customHeight="1" x14ac:dyDescent="0.2">
      <c r="A296" s="163"/>
      <c r="B296" s="149"/>
      <c r="C296" s="149"/>
      <c r="D296" s="149"/>
      <c r="E296" s="149"/>
      <c r="F296" s="149"/>
      <c r="G296" s="149"/>
      <c r="H296" s="187"/>
      <c r="I296" s="149"/>
      <c r="J296" s="149"/>
      <c r="K296" s="149"/>
      <c r="L296" s="188"/>
      <c r="M296" s="158"/>
      <c r="N296" s="175"/>
      <c r="O296" s="176" t="s">
        <v>104</v>
      </c>
      <c r="P296" s="176">
        <v>28</v>
      </c>
      <c r="Q296" s="176">
        <v>2</v>
      </c>
      <c r="R296" s="176">
        <f>R295-Q296</f>
        <v>10</v>
      </c>
      <c r="S296" s="156"/>
      <c r="T296" s="176" t="s">
        <v>104</v>
      </c>
      <c r="U296" s="182">
        <f>IF($J$1="March","",Y295)</f>
        <v>22000</v>
      </c>
      <c r="V296" s="178"/>
      <c r="W296" s="182">
        <f t="shared" ref="W296:W304" si="89">IF(U296="","",U296+V296)</f>
        <v>22000</v>
      </c>
      <c r="X296" s="178">
        <v>5000</v>
      </c>
      <c r="Y296" s="182">
        <f t="shared" si="88"/>
        <v>17000</v>
      </c>
      <c r="Z296" s="183"/>
      <c r="AA296" s="158"/>
      <c r="AB296" s="158"/>
      <c r="AC296" s="158"/>
    </row>
    <row r="297" spans="1:29" ht="18" customHeight="1" x14ac:dyDescent="0.2">
      <c r="A297" s="163"/>
      <c r="B297" s="527" t="s">
        <v>88</v>
      </c>
      <c r="C297" s="503"/>
      <c r="D297" s="149"/>
      <c r="E297" s="149"/>
      <c r="F297" s="189" t="s">
        <v>105</v>
      </c>
      <c r="G297" s="190">
        <f>IF($J$1="January",U293,IF($J$1="February",U294,IF($J$1="March",U295,IF($J$1="April",U296,IF($J$1="May",U297,IF($J$1="June",U298,IF($J$1="July",U299,IF($J$1="August",U300,IF($J$1="August",U300,IF($J$1="September",U301,IF($J$1="October",U302,IF($J$1="November",U303,IF($J$1="December",U304)))))))))))))</f>
        <v>12000</v>
      </c>
      <c r="H297" s="187"/>
      <c r="I297" s="191">
        <f>IF(C301&gt;=C300,$K$2,C299+C301)</f>
        <v>30</v>
      </c>
      <c r="J297" s="192" t="s">
        <v>106</v>
      </c>
      <c r="K297" s="193">
        <f>K293/$K$2*I297</f>
        <v>75000</v>
      </c>
      <c r="L297" s="194"/>
      <c r="M297" s="158"/>
      <c r="N297" s="175"/>
      <c r="O297" s="176" t="s">
        <v>107</v>
      </c>
      <c r="P297" s="176">
        <v>16</v>
      </c>
      <c r="Q297" s="176">
        <v>15</v>
      </c>
      <c r="R297" s="176">
        <f>R296-Q297+15</f>
        <v>10</v>
      </c>
      <c r="S297" s="156"/>
      <c r="T297" s="176" t="s">
        <v>107</v>
      </c>
      <c r="U297" s="182">
        <f t="shared" ref="U297:U298" si="90">Y296</f>
        <v>17000</v>
      </c>
      <c r="V297" s="178"/>
      <c r="W297" s="182">
        <f t="shared" si="89"/>
        <v>17000</v>
      </c>
      <c r="X297" s="178"/>
      <c r="Y297" s="182">
        <f t="shared" si="88"/>
        <v>17000</v>
      </c>
      <c r="Z297" s="183"/>
      <c r="AA297" s="158"/>
      <c r="AB297" s="158"/>
      <c r="AC297" s="158"/>
    </row>
    <row r="298" spans="1:29" ht="18" customHeight="1" x14ac:dyDescent="0.2">
      <c r="A298" s="163"/>
      <c r="B298" s="195"/>
      <c r="C298" s="195"/>
      <c r="D298" s="149"/>
      <c r="E298" s="149"/>
      <c r="F298" s="189" t="s">
        <v>9</v>
      </c>
      <c r="G298" s="190">
        <f>IF($J$1="January",V293,IF($J$1="February",V294,IF($J$1="March",V295,IF($J$1="April",V296,IF($J$1="May",V297,IF($J$1="June",V298,IF($J$1="July",V299,IF($J$1="August",V300,IF($J$1="August",V300,IF($J$1="September",V301,IF($J$1="October",V302,IF($J$1="November",V303,IF($J$1="December",V304)))))))))))))</f>
        <v>0</v>
      </c>
      <c r="H298" s="187"/>
      <c r="I298" s="211">
        <v>15</v>
      </c>
      <c r="J298" s="192" t="s">
        <v>108</v>
      </c>
      <c r="K298" s="190">
        <f>K293/$K$2/8*I298</f>
        <v>4687.5</v>
      </c>
      <c r="L298" s="196"/>
      <c r="M298" s="158"/>
      <c r="N298" s="175"/>
      <c r="O298" s="176" t="s">
        <v>84</v>
      </c>
      <c r="P298" s="176">
        <v>26</v>
      </c>
      <c r="Q298" s="176">
        <v>4</v>
      </c>
      <c r="R298" s="176">
        <f>R297-Q298+4</f>
        <v>10</v>
      </c>
      <c r="S298" s="156"/>
      <c r="T298" s="176" t="s">
        <v>84</v>
      </c>
      <c r="U298" s="182">
        <f t="shared" si="90"/>
        <v>17000</v>
      </c>
      <c r="V298" s="178"/>
      <c r="W298" s="182">
        <f t="shared" si="89"/>
        <v>17000</v>
      </c>
      <c r="X298" s="178">
        <v>5000</v>
      </c>
      <c r="Y298" s="182">
        <f t="shared" si="88"/>
        <v>12000</v>
      </c>
      <c r="Z298" s="183"/>
      <c r="AA298" s="158"/>
      <c r="AB298" s="158"/>
      <c r="AC298" s="158"/>
    </row>
    <row r="299" spans="1:29" ht="18" customHeight="1" x14ac:dyDescent="0.2">
      <c r="A299" s="163"/>
      <c r="B299" s="189" t="s">
        <v>92</v>
      </c>
      <c r="C299" s="195">
        <f>IF($J$1="January",P293,IF($J$1="February",P294,IF($J$1="March",P295,IF($J$1="April",P296,IF($J$1="May",P297,IF($J$1="June",P298,IF($J$1="July",P299,IF($J$1="August",P300,IF($J$1="August",P300,IF($J$1="September",P301,IF($J$1="October",P302,IF($J$1="November",P303,IF($J$1="December",P304)))))))))))))</f>
        <v>28</v>
      </c>
      <c r="D299" s="149"/>
      <c r="E299" s="149"/>
      <c r="F299" s="189" t="s">
        <v>109</v>
      </c>
      <c r="G299" s="190">
        <f>IF($J$1="January",W293,IF($J$1="February",W294,IF($J$1="March",W295,IF($J$1="April",W296,IF($J$1="May",W297,IF($J$1="June",W298,IF($J$1="July",W299,IF($J$1="August",W300,IF($J$1="August",W300,IF($J$1="September",W301,IF($J$1="October",W302,IF($J$1="November",W303,IF($J$1="December",W304)))))))))))))</f>
        <v>12000</v>
      </c>
      <c r="H299" s="187"/>
      <c r="I299" s="528" t="s">
        <v>110</v>
      </c>
      <c r="J299" s="503"/>
      <c r="K299" s="190">
        <f>K297+K298</f>
        <v>79687.5</v>
      </c>
      <c r="L299" s="196"/>
      <c r="M299" s="158"/>
      <c r="N299" s="175"/>
      <c r="O299" s="176" t="s">
        <v>111</v>
      </c>
      <c r="P299" s="176">
        <v>27</v>
      </c>
      <c r="Q299" s="176">
        <v>4</v>
      </c>
      <c r="R299" s="176">
        <f>R298-Q299+4</f>
        <v>10</v>
      </c>
      <c r="S299" s="156"/>
      <c r="T299" s="176" t="s">
        <v>111</v>
      </c>
      <c r="U299" s="182">
        <f>Y298</f>
        <v>12000</v>
      </c>
      <c r="V299" s="178"/>
      <c r="W299" s="182">
        <f t="shared" si="89"/>
        <v>12000</v>
      </c>
      <c r="X299" s="178"/>
      <c r="Y299" s="182">
        <f t="shared" si="88"/>
        <v>12000</v>
      </c>
      <c r="Z299" s="183"/>
      <c r="AA299" s="158"/>
      <c r="AB299" s="158"/>
      <c r="AC299" s="158"/>
    </row>
    <row r="300" spans="1:29" ht="18" customHeight="1" x14ac:dyDescent="0.2">
      <c r="A300" s="163"/>
      <c r="B300" s="189" t="s">
        <v>93</v>
      </c>
      <c r="C300" s="195">
        <f>IF($J$1="January",Q293,IF($J$1="February",Q294,IF($J$1="March",Q295,IF($J$1="April",Q296,IF($J$1="May",Q297,IF($J$1="June",Q298,IF($J$1="July",Q299,IF($J$1="August",Q300,IF($J$1="August",Q300,IF($J$1="September",Q301,IF($J$1="October",Q302,IF($J$1="November",Q303,IF($J$1="December",Q304)))))))))))))</f>
        <v>2</v>
      </c>
      <c r="D300" s="149"/>
      <c r="E300" s="149"/>
      <c r="F300" s="189" t="s">
        <v>11</v>
      </c>
      <c r="G300" s="190">
        <f>IF($J$1="January",X293,IF($J$1="February",X294,IF($J$1="March",X295,IF($J$1="April",X296,IF($J$1="May",X297,IF($J$1="June",X298,IF($J$1="July",X299,IF($J$1="August",X300,IF($J$1="August",X300,IF($J$1="September",X301,IF($J$1="October",X302,IF($J$1="November",X303,IF($J$1="December",X304)))))))))))))</f>
        <v>0</v>
      </c>
      <c r="H300" s="187"/>
      <c r="I300" s="528" t="s">
        <v>112</v>
      </c>
      <c r="J300" s="503"/>
      <c r="K300" s="190">
        <f>G300</f>
        <v>0</v>
      </c>
      <c r="L300" s="196"/>
      <c r="M300" s="158"/>
      <c r="N300" s="175"/>
      <c r="O300" s="176" t="s">
        <v>113</v>
      </c>
      <c r="P300" s="176">
        <v>30</v>
      </c>
      <c r="Q300" s="176">
        <v>1</v>
      </c>
      <c r="R300" s="176">
        <f t="shared" ref="R300:R303" si="91">R299-Q300</f>
        <v>9</v>
      </c>
      <c r="S300" s="156"/>
      <c r="T300" s="176" t="s">
        <v>113</v>
      </c>
      <c r="U300" s="182">
        <f>Y299</f>
        <v>12000</v>
      </c>
      <c r="V300" s="178"/>
      <c r="W300" s="182">
        <f t="shared" si="89"/>
        <v>12000</v>
      </c>
      <c r="X300" s="178">
        <v>0</v>
      </c>
      <c r="Y300" s="182">
        <f t="shared" si="88"/>
        <v>12000</v>
      </c>
      <c r="Z300" s="183"/>
      <c r="AA300" s="158"/>
      <c r="AB300" s="158"/>
      <c r="AC300" s="158"/>
    </row>
    <row r="301" spans="1:29" ht="18" customHeight="1" x14ac:dyDescent="0.2">
      <c r="A301" s="163"/>
      <c r="B301" s="204" t="s">
        <v>114</v>
      </c>
      <c r="C301" s="195">
        <f>IF($J$1="January",R293,IF($J$1="February",R294,IF($J$1="March",R295,IF($J$1="April",R296,IF($J$1="May",R297,IF($J$1="June",R298,IF($J$1="July",R299,IF($J$1="August",R300,IF($J$1="August",R300,IF($J$1="September",R301,IF($J$1="October",R302,IF($J$1="November",R303,IF($J$1="December",R304)))))))))))))</f>
        <v>7</v>
      </c>
      <c r="D301" s="149"/>
      <c r="E301" s="149"/>
      <c r="F301" s="204" t="s">
        <v>115</v>
      </c>
      <c r="G301" s="190">
        <f>IF($J$1="January",Y293,IF($J$1="February",Y294,IF($J$1="March",Y295,IF($J$1="April",Y296,IF($J$1="May",Y297,IF($J$1="June",Y298,IF($J$1="July",Y299,IF($J$1="August",Y300,IF($J$1="August",Y300,IF($J$1="September",Y301,IF($J$1="October",Y302,IF($J$1="November",Y303,IF($J$1="December",Y304)))))))))))))</f>
        <v>12000</v>
      </c>
      <c r="H301" s="149"/>
      <c r="I301" s="529" t="s">
        <v>13</v>
      </c>
      <c r="J301" s="503"/>
      <c r="K301" s="37">
        <f>K299-K300</f>
        <v>79687.5</v>
      </c>
      <c r="L301" s="180"/>
      <c r="M301" s="158"/>
      <c r="N301" s="175"/>
      <c r="O301" s="176" t="s">
        <v>116</v>
      </c>
      <c r="P301" s="176">
        <v>28</v>
      </c>
      <c r="Q301" s="176">
        <v>2</v>
      </c>
      <c r="R301" s="176">
        <f t="shared" si="91"/>
        <v>7</v>
      </c>
      <c r="S301" s="156"/>
      <c r="T301" s="176" t="s">
        <v>116</v>
      </c>
      <c r="U301" s="182">
        <f>Y300</f>
        <v>12000</v>
      </c>
      <c r="V301" s="178"/>
      <c r="W301" s="182">
        <f t="shared" si="89"/>
        <v>12000</v>
      </c>
      <c r="X301" s="178"/>
      <c r="Y301" s="182">
        <f t="shared" si="88"/>
        <v>12000</v>
      </c>
      <c r="Z301" s="183"/>
      <c r="AA301" s="158"/>
      <c r="AB301" s="158"/>
      <c r="AC301" s="158"/>
    </row>
    <row r="302" spans="1:29" ht="18" customHeight="1" x14ac:dyDescent="0.2">
      <c r="A302" s="163"/>
      <c r="B302" s="149"/>
      <c r="C302" s="149"/>
      <c r="D302" s="149"/>
      <c r="E302" s="149"/>
      <c r="F302" s="149"/>
      <c r="G302" s="149"/>
      <c r="H302" s="149"/>
      <c r="I302" s="530"/>
      <c r="J302" s="531"/>
      <c r="K302" s="151"/>
      <c r="L302" s="186"/>
      <c r="M302" s="158"/>
      <c r="N302" s="175"/>
      <c r="O302" s="176" t="s">
        <v>117</v>
      </c>
      <c r="P302" s="176"/>
      <c r="Q302" s="176"/>
      <c r="R302" s="176">
        <f t="shared" si="91"/>
        <v>7</v>
      </c>
      <c r="S302" s="156"/>
      <c r="T302" s="176" t="s">
        <v>117</v>
      </c>
      <c r="U302" s="182"/>
      <c r="V302" s="178"/>
      <c r="W302" s="182" t="str">
        <f t="shared" si="89"/>
        <v/>
      </c>
      <c r="X302" s="178"/>
      <c r="Y302" s="182" t="str">
        <f t="shared" si="88"/>
        <v/>
      </c>
      <c r="Z302" s="183"/>
      <c r="AA302" s="158"/>
      <c r="AB302" s="158"/>
      <c r="AC302" s="158"/>
    </row>
    <row r="303" spans="1:29" ht="18" customHeight="1" x14ac:dyDescent="0.3">
      <c r="A303" s="163"/>
      <c r="B303" s="147"/>
      <c r="C303" s="147"/>
      <c r="D303" s="147"/>
      <c r="E303" s="147"/>
      <c r="F303" s="147"/>
      <c r="G303" s="147"/>
      <c r="H303" s="147"/>
      <c r="I303" s="530"/>
      <c r="J303" s="531"/>
      <c r="K303" s="151"/>
      <c r="L303" s="186"/>
      <c r="M303" s="158"/>
      <c r="N303" s="175"/>
      <c r="O303" s="176" t="s">
        <v>118</v>
      </c>
      <c r="P303" s="176"/>
      <c r="Q303" s="176"/>
      <c r="R303" s="176">
        <f t="shared" si="91"/>
        <v>7</v>
      </c>
      <c r="S303" s="156"/>
      <c r="T303" s="176" t="s">
        <v>118</v>
      </c>
      <c r="U303" s="182"/>
      <c r="V303" s="178"/>
      <c r="W303" s="182" t="str">
        <f t="shared" si="89"/>
        <v/>
      </c>
      <c r="X303" s="178"/>
      <c r="Y303" s="182" t="str">
        <f t="shared" si="88"/>
        <v/>
      </c>
      <c r="Z303" s="183"/>
      <c r="AA303" s="158"/>
      <c r="AB303" s="158"/>
      <c r="AC303" s="158"/>
    </row>
    <row r="304" spans="1:29" ht="18" customHeight="1" thickBot="1" x14ac:dyDescent="0.35">
      <c r="A304" s="197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9"/>
      <c r="M304" s="158"/>
      <c r="N304" s="175"/>
      <c r="O304" s="176" t="s">
        <v>119</v>
      </c>
      <c r="P304" s="176"/>
      <c r="Q304" s="176"/>
      <c r="R304" s="176">
        <v>0</v>
      </c>
      <c r="S304" s="156"/>
      <c r="T304" s="176" t="s">
        <v>119</v>
      </c>
      <c r="U304" s="182"/>
      <c r="V304" s="178"/>
      <c r="W304" s="182" t="str">
        <f t="shared" si="89"/>
        <v/>
      </c>
      <c r="X304" s="178"/>
      <c r="Y304" s="182" t="str">
        <f t="shared" si="88"/>
        <v/>
      </c>
      <c r="Z304" s="183"/>
      <c r="AA304" s="158"/>
      <c r="AB304" s="158"/>
      <c r="AC304" s="158"/>
    </row>
    <row r="305" spans="1:29" ht="18" customHeight="1" thickBot="1" x14ac:dyDescent="0.25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1"/>
      <c r="N305" s="202"/>
      <c r="O305" s="202"/>
      <c r="P305" s="202"/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  <c r="AA305" s="201"/>
      <c r="AB305" s="201"/>
      <c r="AC305" s="201"/>
    </row>
    <row r="306" spans="1:29" ht="18" customHeight="1" thickBot="1" x14ac:dyDescent="0.25">
      <c r="A306" s="532" t="s">
        <v>87</v>
      </c>
      <c r="B306" s="533"/>
      <c r="C306" s="533"/>
      <c r="D306" s="533"/>
      <c r="E306" s="533"/>
      <c r="F306" s="533"/>
      <c r="G306" s="533"/>
      <c r="H306" s="533"/>
      <c r="I306" s="533"/>
      <c r="J306" s="533"/>
      <c r="K306" s="533"/>
      <c r="L306" s="534"/>
      <c r="M306" s="159"/>
      <c r="N306" s="160"/>
      <c r="O306" s="524" t="s">
        <v>88</v>
      </c>
      <c r="P306" s="525"/>
      <c r="Q306" s="525"/>
      <c r="R306" s="526"/>
      <c r="S306" s="161"/>
      <c r="T306" s="524" t="s">
        <v>89</v>
      </c>
      <c r="U306" s="525"/>
      <c r="V306" s="525"/>
      <c r="W306" s="525"/>
      <c r="X306" s="525"/>
      <c r="Y306" s="526"/>
      <c r="Z306" s="162"/>
      <c r="AA306" s="159"/>
      <c r="AB306" s="158"/>
      <c r="AC306" s="158"/>
    </row>
    <row r="307" spans="1:29" ht="18" customHeight="1" x14ac:dyDescent="0.2">
      <c r="A307" s="163"/>
      <c r="B307" s="149"/>
      <c r="C307" s="535" t="s">
        <v>154</v>
      </c>
      <c r="D307" s="531"/>
      <c r="E307" s="531"/>
      <c r="F307" s="531"/>
      <c r="G307" s="164" t="str">
        <f>$J$1</f>
        <v>September</v>
      </c>
      <c r="H307" s="536">
        <f>$K$1</f>
        <v>2024</v>
      </c>
      <c r="I307" s="531"/>
      <c r="J307" s="149"/>
      <c r="K307" s="165"/>
      <c r="L307" s="166"/>
      <c r="M307" s="167"/>
      <c r="N307" s="168"/>
      <c r="O307" s="169" t="s">
        <v>91</v>
      </c>
      <c r="P307" s="169" t="s">
        <v>92</v>
      </c>
      <c r="Q307" s="169" t="s">
        <v>93</v>
      </c>
      <c r="R307" s="169" t="s">
        <v>94</v>
      </c>
      <c r="S307" s="170"/>
      <c r="T307" s="169" t="s">
        <v>91</v>
      </c>
      <c r="U307" s="169" t="s">
        <v>95</v>
      </c>
      <c r="V307" s="169" t="s">
        <v>9</v>
      </c>
      <c r="W307" s="169" t="s">
        <v>10</v>
      </c>
      <c r="X307" s="169" t="s">
        <v>11</v>
      </c>
      <c r="Y307" s="169" t="s">
        <v>96</v>
      </c>
      <c r="Z307" s="171"/>
      <c r="AA307" s="167"/>
      <c r="AB307" s="158"/>
      <c r="AC307" s="158"/>
    </row>
    <row r="308" spans="1:29" ht="18" customHeight="1" x14ac:dyDescent="0.2">
      <c r="A308" s="163"/>
      <c r="B308" s="149"/>
      <c r="C308" s="149"/>
      <c r="D308" s="172"/>
      <c r="E308" s="172"/>
      <c r="F308" s="172"/>
      <c r="G308" s="172"/>
      <c r="H308" s="172"/>
      <c r="I308" s="149"/>
      <c r="J308" s="173" t="s">
        <v>97</v>
      </c>
      <c r="K308" s="151">
        <f>22000+13000</f>
        <v>35000</v>
      </c>
      <c r="L308" s="174"/>
      <c r="M308" s="158"/>
      <c r="N308" s="175"/>
      <c r="O308" s="176" t="s">
        <v>98</v>
      </c>
      <c r="P308" s="176">
        <v>31</v>
      </c>
      <c r="Q308" s="176">
        <v>0</v>
      </c>
      <c r="R308" s="176">
        <f>15-Q308</f>
        <v>15</v>
      </c>
      <c r="S308" s="177"/>
      <c r="T308" s="176" t="s">
        <v>98</v>
      </c>
      <c r="U308" s="178">
        <v>14760</v>
      </c>
      <c r="V308" s="178"/>
      <c r="W308" s="178">
        <f>V308+U308</f>
        <v>14760</v>
      </c>
      <c r="X308" s="178">
        <v>2000</v>
      </c>
      <c r="Y308" s="178">
        <f>W308-X308</f>
        <v>12760</v>
      </c>
      <c r="Z308" s="171"/>
      <c r="AA308" s="158"/>
      <c r="AB308" s="158"/>
      <c r="AC308" s="158"/>
    </row>
    <row r="309" spans="1:29" ht="18" customHeight="1" x14ac:dyDescent="0.2">
      <c r="A309" s="163"/>
      <c r="B309" s="149" t="s">
        <v>99</v>
      </c>
      <c r="C309" s="148" t="s">
        <v>155</v>
      </c>
      <c r="D309" s="149"/>
      <c r="E309" s="149"/>
      <c r="F309" s="149"/>
      <c r="G309" s="149"/>
      <c r="H309" s="179"/>
      <c r="I309" s="172"/>
      <c r="J309" s="149"/>
      <c r="K309" s="149"/>
      <c r="L309" s="180"/>
      <c r="M309" s="159"/>
      <c r="N309" s="181"/>
      <c r="O309" s="176" t="s">
        <v>100</v>
      </c>
      <c r="P309" s="176">
        <v>28</v>
      </c>
      <c r="Q309" s="176">
        <v>1</v>
      </c>
      <c r="R309" s="176">
        <f t="shared" ref="R309:R319" si="92">R308-Q309</f>
        <v>14</v>
      </c>
      <c r="S309" s="156"/>
      <c r="T309" s="176" t="s">
        <v>100</v>
      </c>
      <c r="U309" s="182">
        <f t="shared" ref="U309:U310" si="93">Y308</f>
        <v>12760</v>
      </c>
      <c r="V309" s="178">
        <v>4000</v>
      </c>
      <c r="W309" s="182">
        <f t="shared" ref="W309:W319" si="94">IF(U309="","",U309+V309)</f>
        <v>16760</v>
      </c>
      <c r="X309" s="178">
        <v>2000</v>
      </c>
      <c r="Y309" s="182">
        <f t="shared" ref="Y309:Y319" si="95">IF(W309="","",W309-X309)</f>
        <v>14760</v>
      </c>
      <c r="Z309" s="183"/>
      <c r="AA309" s="159"/>
      <c r="AB309" s="158"/>
      <c r="AC309" s="158"/>
    </row>
    <row r="310" spans="1:29" ht="18" customHeight="1" x14ac:dyDescent="0.2">
      <c r="A310" s="163"/>
      <c r="B310" s="184" t="s">
        <v>101</v>
      </c>
      <c r="C310" s="185"/>
      <c r="D310" s="149"/>
      <c r="E310" s="149"/>
      <c r="F310" s="529" t="s">
        <v>89</v>
      </c>
      <c r="G310" s="503"/>
      <c r="H310" s="149"/>
      <c r="I310" s="529" t="s">
        <v>102</v>
      </c>
      <c r="J310" s="502"/>
      <c r="K310" s="503"/>
      <c r="L310" s="186"/>
      <c r="M310" s="158"/>
      <c r="N310" s="175"/>
      <c r="O310" s="176" t="s">
        <v>103</v>
      </c>
      <c r="P310" s="176">
        <v>31</v>
      </c>
      <c r="Q310" s="176">
        <v>0</v>
      </c>
      <c r="R310" s="176">
        <f t="shared" si="92"/>
        <v>14</v>
      </c>
      <c r="S310" s="156"/>
      <c r="T310" s="176" t="s">
        <v>103</v>
      </c>
      <c r="U310" s="182">
        <f t="shared" si="93"/>
        <v>14760</v>
      </c>
      <c r="V310" s="178"/>
      <c r="W310" s="182">
        <f t="shared" si="94"/>
        <v>14760</v>
      </c>
      <c r="X310" s="178">
        <v>2000</v>
      </c>
      <c r="Y310" s="182">
        <f t="shared" si="95"/>
        <v>12760</v>
      </c>
      <c r="Z310" s="183"/>
      <c r="AA310" s="158"/>
      <c r="AB310" s="158"/>
      <c r="AC310" s="158"/>
    </row>
    <row r="311" spans="1:29" ht="18" customHeight="1" x14ac:dyDescent="0.2">
      <c r="A311" s="163"/>
      <c r="B311" s="149"/>
      <c r="C311" s="149"/>
      <c r="D311" s="149"/>
      <c r="E311" s="149"/>
      <c r="F311" s="149"/>
      <c r="G311" s="149"/>
      <c r="H311" s="187"/>
      <c r="I311" s="149"/>
      <c r="J311" s="149"/>
      <c r="K311" s="149"/>
      <c r="L311" s="188"/>
      <c r="M311" s="158"/>
      <c r="N311" s="175"/>
      <c r="O311" s="176" t="s">
        <v>104</v>
      </c>
      <c r="P311" s="176">
        <v>30</v>
      </c>
      <c r="Q311" s="176">
        <v>0</v>
      </c>
      <c r="R311" s="176">
        <f t="shared" si="92"/>
        <v>14</v>
      </c>
      <c r="S311" s="156"/>
      <c r="T311" s="176" t="s">
        <v>104</v>
      </c>
      <c r="U311" s="182">
        <f>IF($J$1="March","",Y310)</f>
        <v>12760</v>
      </c>
      <c r="V311" s="178">
        <v>2000</v>
      </c>
      <c r="W311" s="182">
        <f t="shared" si="94"/>
        <v>14760</v>
      </c>
      <c r="X311" s="178">
        <v>2000</v>
      </c>
      <c r="Y311" s="182">
        <f t="shared" si="95"/>
        <v>12760</v>
      </c>
      <c r="Z311" s="183"/>
      <c r="AA311" s="158"/>
      <c r="AB311" s="158"/>
      <c r="AC311" s="158"/>
    </row>
    <row r="312" spans="1:29" ht="18" customHeight="1" x14ac:dyDescent="0.2">
      <c r="A312" s="163"/>
      <c r="B312" s="527" t="s">
        <v>88</v>
      </c>
      <c r="C312" s="503"/>
      <c r="D312" s="149"/>
      <c r="E312" s="149"/>
      <c r="F312" s="189" t="s">
        <v>105</v>
      </c>
      <c r="G312" s="190">
        <f>IF($J$1="January",U308,IF($J$1="February",U309,IF($J$1="March",U310,IF($J$1="April",U311,IF($J$1="May",U312,IF($J$1="June",U313,IF($J$1="July",U314,IF($J$1="August",U315,IF($J$1="August",U315,IF($J$1="September",U316,IF($J$1="October",U317,IF($J$1="November",U318,IF($J$1="December",U319)))))))))))))</f>
        <v>6760</v>
      </c>
      <c r="H312" s="187"/>
      <c r="I312" s="191">
        <f>IF(C316&gt;=C315,$K$2,C314+C316)</f>
        <v>30</v>
      </c>
      <c r="J312" s="192" t="s">
        <v>106</v>
      </c>
      <c r="K312" s="193">
        <f>K308/$K$2*I312</f>
        <v>35000</v>
      </c>
      <c r="L312" s="194"/>
      <c r="M312" s="158"/>
      <c r="N312" s="175"/>
      <c r="O312" s="176" t="s">
        <v>107</v>
      </c>
      <c r="P312" s="176">
        <v>31</v>
      </c>
      <c r="Q312" s="176">
        <v>0</v>
      </c>
      <c r="R312" s="176">
        <f t="shared" si="92"/>
        <v>14</v>
      </c>
      <c r="S312" s="156"/>
      <c r="T312" s="176" t="s">
        <v>107</v>
      </c>
      <c r="U312" s="182">
        <f t="shared" ref="U312:U313" si="96">Y311</f>
        <v>12760</v>
      </c>
      <c r="V312" s="178"/>
      <c r="W312" s="182">
        <f t="shared" si="94"/>
        <v>12760</v>
      </c>
      <c r="X312" s="178">
        <v>2000</v>
      </c>
      <c r="Y312" s="182">
        <f t="shared" si="95"/>
        <v>10760</v>
      </c>
      <c r="Z312" s="183"/>
      <c r="AA312" s="158"/>
      <c r="AB312" s="158"/>
      <c r="AC312" s="158"/>
    </row>
    <row r="313" spans="1:29" ht="18" customHeight="1" x14ac:dyDescent="0.2">
      <c r="A313" s="163"/>
      <c r="B313" s="195"/>
      <c r="C313" s="195"/>
      <c r="D313" s="149"/>
      <c r="E313" s="149"/>
      <c r="F313" s="189" t="s">
        <v>9</v>
      </c>
      <c r="G313" s="190">
        <f>IF($J$1="January",V308,IF($J$1="February",V309,IF($J$1="March",V310,IF($J$1="April",V311,IF($J$1="May",V312,IF($J$1="June",V313,IF($J$1="July",V314,IF($J$1="August",V315,IF($J$1="August",V315,IF($J$1="September",V316,IF($J$1="October",V317,IF($J$1="November",V318,IF($J$1="December",V319)))))))))))))</f>
        <v>3000</v>
      </c>
      <c r="H313" s="187"/>
      <c r="I313" s="191">
        <v>65</v>
      </c>
      <c r="J313" s="192" t="s">
        <v>108</v>
      </c>
      <c r="K313" s="190">
        <f>K308/$K$2/8*I313</f>
        <v>9479.1666666666679</v>
      </c>
      <c r="L313" s="196"/>
      <c r="M313" s="158"/>
      <c r="N313" s="175"/>
      <c r="O313" s="176" t="s">
        <v>84</v>
      </c>
      <c r="P313" s="176">
        <v>29</v>
      </c>
      <c r="Q313" s="176">
        <v>1</v>
      </c>
      <c r="R313" s="176">
        <f t="shared" si="92"/>
        <v>13</v>
      </c>
      <c r="S313" s="156"/>
      <c r="T313" s="176" t="s">
        <v>84</v>
      </c>
      <c r="U313" s="182">
        <f t="shared" si="96"/>
        <v>10760</v>
      </c>
      <c r="V313" s="178"/>
      <c r="W313" s="182">
        <f t="shared" si="94"/>
        <v>10760</v>
      </c>
      <c r="X313" s="178"/>
      <c r="Y313" s="182">
        <f t="shared" si="95"/>
        <v>10760</v>
      </c>
      <c r="Z313" s="183"/>
      <c r="AA313" s="158"/>
      <c r="AB313" s="158"/>
      <c r="AC313" s="158"/>
    </row>
    <row r="314" spans="1:29" ht="18" customHeight="1" x14ac:dyDescent="0.2">
      <c r="A314" s="163"/>
      <c r="B314" s="189" t="s">
        <v>92</v>
      </c>
      <c r="C314" s="195">
        <f>IF($J$1="January",P308,IF($J$1="February",P309,IF($J$1="March",P310,IF($J$1="April",P311,IF($J$1="May",P312,IF($J$1="June",P313,IF($J$1="July",P314,IF($J$1="August",P315,IF($J$1="August",P315,IF($J$1="September",P316,IF($J$1="October",P317,IF($J$1="November",P318,IF($J$1="December",P319)))))))))))))</f>
        <v>30</v>
      </c>
      <c r="D314" s="149"/>
      <c r="E314" s="149"/>
      <c r="F314" s="189" t="s">
        <v>109</v>
      </c>
      <c r="G314" s="190">
        <f>IF($J$1="January",W308,IF($J$1="February",W309,IF($J$1="March",W310,IF($J$1="April",W311,IF($J$1="May",W312,IF($J$1="June",W313,IF($J$1="July",W314,IF($J$1="August",W315,IF($J$1="August",W315,IF($J$1="September",W316,IF($J$1="October",W317,IF($J$1="November",W318,IF($J$1="December",W319)))))))))))))</f>
        <v>9760</v>
      </c>
      <c r="H314" s="187"/>
      <c r="I314" s="528" t="s">
        <v>110</v>
      </c>
      <c r="J314" s="503"/>
      <c r="K314" s="190">
        <f>K312+K313</f>
        <v>44479.166666666672</v>
      </c>
      <c r="L314" s="196"/>
      <c r="M314" s="158"/>
      <c r="N314" s="175"/>
      <c r="O314" s="176" t="s">
        <v>111</v>
      </c>
      <c r="P314" s="176">
        <v>30</v>
      </c>
      <c r="Q314" s="176">
        <v>1</v>
      </c>
      <c r="R314" s="176">
        <f t="shared" si="92"/>
        <v>12</v>
      </c>
      <c r="S314" s="156"/>
      <c r="T314" s="176" t="s">
        <v>111</v>
      </c>
      <c r="U314" s="182">
        <f>Y313</f>
        <v>10760</v>
      </c>
      <c r="V314" s="178"/>
      <c r="W314" s="182">
        <f t="shared" si="94"/>
        <v>10760</v>
      </c>
      <c r="X314" s="178">
        <v>2000</v>
      </c>
      <c r="Y314" s="182">
        <f t="shared" si="95"/>
        <v>8760</v>
      </c>
      <c r="Z314" s="183"/>
      <c r="AA314" s="158"/>
      <c r="AB314" s="158"/>
      <c r="AC314" s="158"/>
    </row>
    <row r="315" spans="1:29" ht="18" customHeight="1" x14ac:dyDescent="0.2">
      <c r="A315" s="163"/>
      <c r="B315" s="189" t="s">
        <v>93</v>
      </c>
      <c r="C315" s="195">
        <f>IF($J$1="January",Q308,IF($J$1="February",Q309,IF($J$1="March",Q310,IF($J$1="April",Q311,IF($J$1="May",Q312,IF($J$1="June",Q313,IF($J$1="July",Q314,IF($J$1="August",Q315,IF($J$1="August",Q315,IF($J$1="September",Q316,IF($J$1="October",Q317,IF($J$1="November",Q318,IF($J$1="December",Q319)))))))))))))</f>
        <v>0</v>
      </c>
      <c r="D315" s="149"/>
      <c r="E315" s="149"/>
      <c r="F315" s="189" t="s">
        <v>11</v>
      </c>
      <c r="G315" s="190">
        <f>IF($J$1="January",X308,IF($J$1="February",X309,IF($J$1="March",X310,IF($J$1="April",X311,IF($J$1="May",X312,IF($J$1="June",X313,IF($J$1="July",X314,IF($J$1="August",X315,IF($J$1="August",X315,IF($J$1="September",X316,IF($J$1="October",X317,IF($J$1="November",X318,IF($J$1="December",X319)))))))))))))</f>
        <v>2000</v>
      </c>
      <c r="H315" s="187"/>
      <c r="I315" s="528" t="s">
        <v>112</v>
      </c>
      <c r="J315" s="503"/>
      <c r="K315" s="190">
        <f>G315</f>
        <v>2000</v>
      </c>
      <c r="L315" s="196"/>
      <c r="M315" s="158"/>
      <c r="N315" s="175"/>
      <c r="O315" s="176" t="s">
        <v>113</v>
      </c>
      <c r="P315" s="176">
        <v>31</v>
      </c>
      <c r="Q315" s="176">
        <v>0</v>
      </c>
      <c r="R315" s="176">
        <f t="shared" si="92"/>
        <v>12</v>
      </c>
      <c r="S315" s="156"/>
      <c r="T315" s="176" t="s">
        <v>113</v>
      </c>
      <c r="U315" s="182">
        <f>Y314</f>
        <v>8760</v>
      </c>
      <c r="V315" s="178"/>
      <c r="W315" s="182">
        <f t="shared" si="94"/>
        <v>8760</v>
      </c>
      <c r="X315" s="178">
        <v>2000</v>
      </c>
      <c r="Y315" s="182">
        <f t="shared" si="95"/>
        <v>6760</v>
      </c>
      <c r="Z315" s="183"/>
      <c r="AA315" s="158"/>
      <c r="AB315" s="158"/>
      <c r="AC315" s="158"/>
    </row>
    <row r="316" spans="1:29" ht="18" customHeight="1" x14ac:dyDescent="0.2">
      <c r="A316" s="163"/>
      <c r="B316" s="204" t="s">
        <v>114</v>
      </c>
      <c r="C316" s="195">
        <f>IF($J$1="January",R308,IF($J$1="February",R309,IF($J$1="March",R310,IF($J$1="April",R311,IF($J$1="May",R312,IF($J$1="June",R313,IF($J$1="July",R314,IF($J$1="August",R315,IF($J$1="August",R315,IF($J$1="September",R316,IF($J$1="October",R317,IF($J$1="November",R318,IF($J$1="December",R319)))))))))))))</f>
        <v>12</v>
      </c>
      <c r="D316" s="149"/>
      <c r="E316" s="149"/>
      <c r="F316" s="204" t="s">
        <v>115</v>
      </c>
      <c r="G316" s="190">
        <f>IF($J$1="January",Y308,IF($J$1="February",Y309,IF($J$1="March",Y310,IF($J$1="April",Y311,IF($J$1="May",Y312,IF($J$1="June",Y313,IF($J$1="July",Y314,IF($J$1="August",Y315,IF($J$1="August",Y315,IF($J$1="September",Y316,IF($J$1="October",Y317,IF($J$1="November",Y318,IF($J$1="December",Y319)))))))))))))</f>
        <v>7760</v>
      </c>
      <c r="H316" s="149"/>
      <c r="I316" s="529" t="s">
        <v>13</v>
      </c>
      <c r="J316" s="503"/>
      <c r="K316" s="37">
        <f>K314-K315</f>
        <v>42479.166666666672</v>
      </c>
      <c r="L316" s="180"/>
      <c r="M316" s="158"/>
      <c r="N316" s="175"/>
      <c r="O316" s="176" t="s">
        <v>116</v>
      </c>
      <c r="P316" s="176">
        <v>30</v>
      </c>
      <c r="Q316" s="176">
        <v>0</v>
      </c>
      <c r="R316" s="176">
        <f t="shared" si="92"/>
        <v>12</v>
      </c>
      <c r="S316" s="156"/>
      <c r="T316" s="176" t="s">
        <v>116</v>
      </c>
      <c r="U316" s="182">
        <f>Y315</f>
        <v>6760</v>
      </c>
      <c r="V316" s="178">
        <v>3000</v>
      </c>
      <c r="W316" s="182">
        <f t="shared" si="94"/>
        <v>9760</v>
      </c>
      <c r="X316" s="178">
        <v>2000</v>
      </c>
      <c r="Y316" s="182">
        <f t="shared" si="95"/>
        <v>7760</v>
      </c>
      <c r="Z316" s="183"/>
      <c r="AA316" s="158"/>
      <c r="AB316" s="158"/>
      <c r="AC316" s="158"/>
    </row>
    <row r="317" spans="1:29" ht="18" customHeight="1" x14ac:dyDescent="0.2">
      <c r="A317" s="163"/>
      <c r="B317" s="149"/>
      <c r="C317" s="149"/>
      <c r="D317" s="149"/>
      <c r="E317" s="149"/>
      <c r="F317" s="149"/>
      <c r="G317" s="149"/>
      <c r="H317" s="149"/>
      <c r="I317" s="530"/>
      <c r="J317" s="531"/>
      <c r="K317" s="151"/>
      <c r="L317" s="186"/>
      <c r="M317" s="158"/>
      <c r="N317" s="175"/>
      <c r="O317" s="176" t="s">
        <v>117</v>
      </c>
      <c r="P317" s="176"/>
      <c r="Q317" s="176"/>
      <c r="R317" s="176">
        <f t="shared" si="92"/>
        <v>12</v>
      </c>
      <c r="S317" s="156"/>
      <c r="T317" s="176" t="s">
        <v>117</v>
      </c>
      <c r="U317" s="182"/>
      <c r="V317" s="178"/>
      <c r="W317" s="182" t="str">
        <f t="shared" si="94"/>
        <v/>
      </c>
      <c r="X317" s="178"/>
      <c r="Y317" s="182" t="str">
        <f t="shared" si="95"/>
        <v/>
      </c>
      <c r="Z317" s="183"/>
      <c r="AA317" s="158"/>
      <c r="AB317" s="158"/>
      <c r="AC317" s="158"/>
    </row>
    <row r="318" spans="1:29" ht="18" customHeight="1" x14ac:dyDescent="0.3">
      <c r="A318" s="163"/>
      <c r="B318" s="147"/>
      <c r="C318" s="147"/>
      <c r="D318" s="147"/>
      <c r="E318" s="147"/>
      <c r="F318" s="147"/>
      <c r="G318" s="147"/>
      <c r="H318" s="147"/>
      <c r="I318" s="530"/>
      <c r="J318" s="531"/>
      <c r="K318" s="151"/>
      <c r="L318" s="186"/>
      <c r="M318" s="158"/>
      <c r="N318" s="175"/>
      <c r="O318" s="176" t="s">
        <v>118</v>
      </c>
      <c r="P318" s="176"/>
      <c r="Q318" s="176"/>
      <c r="R318" s="176">
        <f t="shared" si="92"/>
        <v>12</v>
      </c>
      <c r="S318" s="156"/>
      <c r="T318" s="176" t="s">
        <v>118</v>
      </c>
      <c r="U318" s="182"/>
      <c r="V318" s="178"/>
      <c r="W318" s="182" t="str">
        <f t="shared" si="94"/>
        <v/>
      </c>
      <c r="X318" s="178"/>
      <c r="Y318" s="182" t="str">
        <f t="shared" si="95"/>
        <v/>
      </c>
      <c r="Z318" s="183"/>
      <c r="AA318" s="158"/>
      <c r="AB318" s="158"/>
      <c r="AC318" s="158"/>
    </row>
    <row r="319" spans="1:29" ht="18" customHeight="1" thickBot="1" x14ac:dyDescent="0.35">
      <c r="A319" s="197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9"/>
      <c r="M319" s="158"/>
      <c r="N319" s="175"/>
      <c r="O319" s="176" t="s">
        <v>119</v>
      </c>
      <c r="P319" s="176"/>
      <c r="Q319" s="176"/>
      <c r="R319" s="176">
        <f t="shared" si="92"/>
        <v>12</v>
      </c>
      <c r="S319" s="156"/>
      <c r="T319" s="176" t="s">
        <v>119</v>
      </c>
      <c r="U319" s="182"/>
      <c r="V319" s="178"/>
      <c r="W319" s="182" t="str">
        <f t="shared" si="94"/>
        <v/>
      </c>
      <c r="X319" s="178"/>
      <c r="Y319" s="182" t="str">
        <f t="shared" si="95"/>
        <v/>
      </c>
      <c r="Z319" s="183"/>
      <c r="AA319" s="158"/>
      <c r="AB319" s="158"/>
      <c r="AC319" s="158"/>
    </row>
    <row r="320" spans="1:29" ht="18" customHeight="1" thickBot="1" x14ac:dyDescent="0.25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1"/>
      <c r="N320" s="202"/>
      <c r="O320" s="202"/>
      <c r="P320" s="202"/>
      <c r="Q320" s="202"/>
      <c r="R320" s="202"/>
      <c r="S320" s="202"/>
      <c r="T320" s="202"/>
      <c r="U320" s="202"/>
      <c r="V320" s="202"/>
      <c r="W320" s="202"/>
      <c r="X320" s="202"/>
      <c r="Y320" s="202"/>
      <c r="Z320" s="202"/>
      <c r="AA320" s="201"/>
      <c r="AB320" s="201"/>
      <c r="AC320" s="201"/>
    </row>
    <row r="321" spans="1:29" ht="18" customHeight="1" thickBot="1" x14ac:dyDescent="0.25">
      <c r="A321" s="532" t="s">
        <v>87</v>
      </c>
      <c r="B321" s="533"/>
      <c r="C321" s="533"/>
      <c r="D321" s="533"/>
      <c r="E321" s="533"/>
      <c r="F321" s="533"/>
      <c r="G321" s="533"/>
      <c r="H321" s="533"/>
      <c r="I321" s="533"/>
      <c r="J321" s="533"/>
      <c r="K321" s="533"/>
      <c r="L321" s="534"/>
      <c r="M321" s="159"/>
      <c r="N321" s="160"/>
      <c r="O321" s="524" t="s">
        <v>88</v>
      </c>
      <c r="P321" s="525"/>
      <c r="Q321" s="525"/>
      <c r="R321" s="526"/>
      <c r="S321" s="161"/>
      <c r="T321" s="524" t="s">
        <v>89</v>
      </c>
      <c r="U321" s="525"/>
      <c r="V321" s="525"/>
      <c r="W321" s="525"/>
      <c r="X321" s="525"/>
      <c r="Y321" s="526"/>
      <c r="Z321" s="162"/>
      <c r="AA321" s="159"/>
      <c r="AB321" s="158"/>
      <c r="AC321" s="158"/>
    </row>
    <row r="322" spans="1:29" ht="18" customHeight="1" x14ac:dyDescent="0.2">
      <c r="A322" s="163"/>
      <c r="B322" s="149"/>
      <c r="C322" s="535" t="s">
        <v>156</v>
      </c>
      <c r="D322" s="531"/>
      <c r="E322" s="531"/>
      <c r="F322" s="531"/>
      <c r="G322" s="164" t="str">
        <f>$J$1</f>
        <v>September</v>
      </c>
      <c r="H322" s="536">
        <f>$K$1</f>
        <v>2024</v>
      </c>
      <c r="I322" s="531"/>
      <c r="J322" s="149"/>
      <c r="K322" s="165"/>
      <c r="L322" s="166"/>
      <c r="M322" s="167"/>
      <c r="N322" s="168"/>
      <c r="O322" s="169" t="s">
        <v>91</v>
      </c>
      <c r="P322" s="169" t="s">
        <v>92</v>
      </c>
      <c r="Q322" s="169" t="s">
        <v>93</v>
      </c>
      <c r="R322" s="169" t="s">
        <v>94</v>
      </c>
      <c r="S322" s="170"/>
      <c r="T322" s="169" t="s">
        <v>91</v>
      </c>
      <c r="U322" s="169" t="s">
        <v>95</v>
      </c>
      <c r="V322" s="169" t="s">
        <v>9</v>
      </c>
      <c r="W322" s="169" t="s">
        <v>10</v>
      </c>
      <c r="X322" s="169" t="s">
        <v>11</v>
      </c>
      <c r="Y322" s="169" t="s">
        <v>96</v>
      </c>
      <c r="Z322" s="171"/>
      <c r="AA322" s="167"/>
      <c r="AB322" s="158"/>
      <c r="AC322" s="158"/>
    </row>
    <row r="323" spans="1:29" ht="18" customHeight="1" x14ac:dyDescent="0.2">
      <c r="A323" s="163"/>
      <c r="B323" s="149"/>
      <c r="C323" s="149"/>
      <c r="D323" s="172"/>
      <c r="E323" s="172"/>
      <c r="F323" s="172"/>
      <c r="G323" s="172"/>
      <c r="H323" s="172"/>
      <c r="I323" s="149"/>
      <c r="J323" s="173" t="s">
        <v>97</v>
      </c>
      <c r="K323" s="151">
        <f>19000+3000+5000</f>
        <v>27000</v>
      </c>
      <c r="L323" s="174"/>
      <c r="M323" s="158"/>
      <c r="N323" s="175"/>
      <c r="O323" s="176" t="s">
        <v>98</v>
      </c>
      <c r="P323" s="176">
        <v>29</v>
      </c>
      <c r="Q323" s="176">
        <v>2</v>
      </c>
      <c r="R323" s="176">
        <f>15-Q323</f>
        <v>13</v>
      </c>
      <c r="S323" s="177"/>
      <c r="T323" s="176" t="s">
        <v>98</v>
      </c>
      <c r="U323" s="178">
        <v>18000</v>
      </c>
      <c r="V323" s="178"/>
      <c r="W323" s="178">
        <f>V323+U323</f>
        <v>18000</v>
      </c>
      <c r="X323" s="178">
        <v>3000</v>
      </c>
      <c r="Y323" s="178">
        <f>W323-X323</f>
        <v>15000</v>
      </c>
      <c r="Z323" s="171"/>
      <c r="AA323" s="158"/>
      <c r="AB323" s="158"/>
      <c r="AC323" s="158"/>
    </row>
    <row r="324" spans="1:29" ht="18" customHeight="1" x14ac:dyDescent="0.2">
      <c r="A324" s="163"/>
      <c r="B324" s="149" t="s">
        <v>99</v>
      </c>
      <c r="C324" s="148" t="s">
        <v>157</v>
      </c>
      <c r="D324" s="149"/>
      <c r="E324" s="149"/>
      <c r="F324" s="149"/>
      <c r="G324" s="149"/>
      <c r="H324" s="179"/>
      <c r="I324" s="172"/>
      <c r="J324" s="149"/>
      <c r="K324" s="149"/>
      <c r="L324" s="180"/>
      <c r="M324" s="159"/>
      <c r="N324" s="181"/>
      <c r="O324" s="176" t="s">
        <v>100</v>
      </c>
      <c r="P324" s="176">
        <v>28</v>
      </c>
      <c r="Q324" s="176">
        <v>1</v>
      </c>
      <c r="R324" s="176">
        <f t="shared" ref="R324:R334" si="97">IF(Q324="","",R323-Q324)</f>
        <v>12</v>
      </c>
      <c r="S324" s="156"/>
      <c r="T324" s="176" t="s">
        <v>100</v>
      </c>
      <c r="U324" s="182">
        <f t="shared" ref="U324:U325" si="98">Y323</f>
        <v>15000</v>
      </c>
      <c r="V324" s="178"/>
      <c r="W324" s="182">
        <f t="shared" ref="W324:W334" si="99">IF(U324="","",U324+V324)</f>
        <v>15000</v>
      </c>
      <c r="X324" s="178">
        <v>3000</v>
      </c>
      <c r="Y324" s="182">
        <f t="shared" ref="Y324:Y334" si="100">IF(W324="","",W324-X324)</f>
        <v>12000</v>
      </c>
      <c r="Z324" s="183"/>
      <c r="AA324" s="159"/>
      <c r="AB324" s="158"/>
      <c r="AC324" s="158"/>
    </row>
    <row r="325" spans="1:29" ht="18" customHeight="1" x14ac:dyDescent="0.2">
      <c r="A325" s="163"/>
      <c r="B325" s="184" t="s">
        <v>101</v>
      </c>
      <c r="C325" s="185"/>
      <c r="D325" s="149"/>
      <c r="E325" s="149"/>
      <c r="F325" s="529" t="s">
        <v>89</v>
      </c>
      <c r="G325" s="503"/>
      <c r="H325" s="149"/>
      <c r="I325" s="529" t="s">
        <v>102</v>
      </c>
      <c r="J325" s="502"/>
      <c r="K325" s="503"/>
      <c r="L325" s="186"/>
      <c r="M325" s="158"/>
      <c r="N325" s="175"/>
      <c r="O325" s="176" t="s">
        <v>103</v>
      </c>
      <c r="P325" s="176">
        <v>31</v>
      </c>
      <c r="Q325" s="176">
        <v>0</v>
      </c>
      <c r="R325" s="176">
        <f t="shared" si="97"/>
        <v>12</v>
      </c>
      <c r="S325" s="156"/>
      <c r="T325" s="176" t="s">
        <v>103</v>
      </c>
      <c r="U325" s="182">
        <f t="shared" si="98"/>
        <v>12000</v>
      </c>
      <c r="V325" s="178"/>
      <c r="W325" s="182">
        <f t="shared" si="99"/>
        <v>12000</v>
      </c>
      <c r="X325" s="178">
        <v>3000</v>
      </c>
      <c r="Y325" s="182">
        <f t="shared" si="100"/>
        <v>9000</v>
      </c>
      <c r="Z325" s="183"/>
      <c r="AA325" s="158"/>
      <c r="AB325" s="158"/>
      <c r="AC325" s="158"/>
    </row>
    <row r="326" spans="1:29" ht="18" customHeight="1" x14ac:dyDescent="0.2">
      <c r="A326" s="163"/>
      <c r="B326" s="149"/>
      <c r="C326" s="149"/>
      <c r="D326" s="149"/>
      <c r="E326" s="149"/>
      <c r="F326" s="149"/>
      <c r="G326" s="149"/>
      <c r="H326" s="187"/>
      <c r="I326" s="149"/>
      <c r="J326" s="149"/>
      <c r="K326" s="149"/>
      <c r="L326" s="188"/>
      <c r="M326" s="158"/>
      <c r="N326" s="175"/>
      <c r="O326" s="176" t="s">
        <v>104</v>
      </c>
      <c r="P326" s="176">
        <v>29</v>
      </c>
      <c r="Q326" s="176">
        <v>1</v>
      </c>
      <c r="R326" s="176">
        <f t="shared" si="97"/>
        <v>11</v>
      </c>
      <c r="S326" s="156"/>
      <c r="T326" s="176" t="s">
        <v>104</v>
      </c>
      <c r="U326" s="182">
        <f>IF($J$1="March","",Y325)</f>
        <v>9000</v>
      </c>
      <c r="V326" s="178"/>
      <c r="W326" s="182">
        <f t="shared" si="99"/>
        <v>9000</v>
      </c>
      <c r="X326" s="178">
        <v>3000</v>
      </c>
      <c r="Y326" s="182">
        <f t="shared" si="100"/>
        <v>6000</v>
      </c>
      <c r="Z326" s="183"/>
      <c r="AA326" s="158"/>
      <c r="AB326" s="158"/>
      <c r="AC326" s="158">
        <v>20</v>
      </c>
    </row>
    <row r="327" spans="1:29" ht="18" customHeight="1" x14ac:dyDescent="0.2">
      <c r="A327" s="163"/>
      <c r="B327" s="527" t="s">
        <v>88</v>
      </c>
      <c r="C327" s="503"/>
      <c r="D327" s="149"/>
      <c r="E327" s="149"/>
      <c r="F327" s="189" t="s">
        <v>105</v>
      </c>
      <c r="G327" s="190">
        <f>IF($J$1="January",U323,IF($J$1="February",U324,IF($J$1="March",U325,IF($J$1="April",U326,IF($J$1="May",U327,IF($J$1="June",U328,IF($J$1="July",U329,IF($J$1="August",U330,IF($J$1="August",U330,IF($J$1="September",U331,IF($J$1="October",U332,IF($J$1="November",U333,IF($J$1="December",U334)))))))))))))</f>
        <v>0</v>
      </c>
      <c r="H327" s="187"/>
      <c r="I327" s="191">
        <f>IF(C331&gt;0,$K$2,C329)</f>
        <v>30</v>
      </c>
      <c r="J327" s="192" t="s">
        <v>106</v>
      </c>
      <c r="K327" s="193">
        <f>K323/$K$2*I327</f>
        <v>27000</v>
      </c>
      <c r="L327" s="194"/>
      <c r="M327" s="158"/>
      <c r="N327" s="175"/>
      <c r="O327" s="176" t="s">
        <v>107</v>
      </c>
      <c r="P327" s="176">
        <v>30</v>
      </c>
      <c r="Q327" s="176">
        <v>1</v>
      </c>
      <c r="R327" s="176">
        <f t="shared" si="97"/>
        <v>10</v>
      </c>
      <c r="S327" s="156"/>
      <c r="T327" s="176" t="s">
        <v>107</v>
      </c>
      <c r="U327" s="182">
        <f>IF($J$1="April","",Y326)</f>
        <v>6000</v>
      </c>
      <c r="V327" s="178"/>
      <c r="W327" s="182">
        <f t="shared" si="99"/>
        <v>6000</v>
      </c>
      <c r="X327" s="178">
        <v>3000</v>
      </c>
      <c r="Y327" s="182">
        <f t="shared" si="100"/>
        <v>3000</v>
      </c>
      <c r="Z327" s="183"/>
      <c r="AA327" s="158"/>
      <c r="AB327" s="158"/>
      <c r="AC327" s="158"/>
    </row>
    <row r="328" spans="1:29" ht="18" customHeight="1" x14ac:dyDescent="0.2">
      <c r="A328" s="163"/>
      <c r="B328" s="195"/>
      <c r="C328" s="195"/>
      <c r="D328" s="149"/>
      <c r="E328" s="149"/>
      <c r="F328" s="189" t="s">
        <v>9</v>
      </c>
      <c r="G328" s="190">
        <f>IF($J$1="January",V323,IF($J$1="February",V324,IF($J$1="March",V325,IF($J$1="April",V326,IF($J$1="May",V327,IF($J$1="June",V328,IF($J$1="July",V329,IF($J$1="August",V330,IF($J$1="August",V330,IF($J$1="September",V331,IF($J$1="October",V332,IF($J$1="November",V333,IF($J$1="December",V334)))))))))))))</f>
        <v>0</v>
      </c>
      <c r="H328" s="187"/>
      <c r="I328" s="191">
        <f>3+2+2+2</f>
        <v>9</v>
      </c>
      <c r="J328" s="192" t="s">
        <v>108</v>
      </c>
      <c r="K328" s="190">
        <f>K323/$K$2/8*I328</f>
        <v>1012.5</v>
      </c>
      <c r="L328" s="196"/>
      <c r="M328" s="158"/>
      <c r="N328" s="175"/>
      <c r="O328" s="176" t="s">
        <v>84</v>
      </c>
      <c r="P328" s="176">
        <v>27</v>
      </c>
      <c r="Q328" s="176">
        <v>3</v>
      </c>
      <c r="R328" s="176">
        <f t="shared" si="97"/>
        <v>7</v>
      </c>
      <c r="S328" s="156"/>
      <c r="T328" s="176" t="s">
        <v>84</v>
      </c>
      <c r="U328" s="182">
        <f>Y327</f>
        <v>3000</v>
      </c>
      <c r="V328" s="178"/>
      <c r="W328" s="182">
        <f t="shared" si="99"/>
        <v>3000</v>
      </c>
      <c r="X328" s="178">
        <v>1000</v>
      </c>
      <c r="Y328" s="182">
        <f t="shared" si="100"/>
        <v>2000</v>
      </c>
      <c r="Z328" s="183"/>
      <c r="AA328" s="158"/>
      <c r="AB328" s="158"/>
      <c r="AC328" s="158"/>
    </row>
    <row r="329" spans="1:29" ht="18" customHeight="1" x14ac:dyDescent="0.2">
      <c r="A329" s="163"/>
      <c r="B329" s="189" t="s">
        <v>92</v>
      </c>
      <c r="C329" s="195">
        <f>IF($J$1="January",P323,IF($J$1="February",P324,IF($J$1="March",P325,IF($J$1="April",P326,IF($J$1="May",P327,IF($J$1="June",P328,IF($J$1="July",P329,IF($J$1="August",P330,IF($J$1="August",P330,IF($J$1="September",P331,IF($J$1="October",P332,IF($J$1="November",P333,IF($J$1="December",P334)))))))))))))</f>
        <v>30</v>
      </c>
      <c r="D329" s="149"/>
      <c r="E329" s="149"/>
      <c r="F329" s="189" t="s">
        <v>109</v>
      </c>
      <c r="G329" s="190">
        <f>IF($J$1="January",W323,IF($J$1="February",W324,IF($J$1="March",W325,IF($J$1="April",W326,IF($J$1="May",W327,IF($J$1="June",W328,IF($J$1="July",W329,IF($J$1="August",W330,IF($J$1="August",W330,IF($J$1="September",W331,IF($J$1="October",W332,IF($J$1="November",W333,IF($J$1="December",W334)))))))))))))</f>
        <v>0</v>
      </c>
      <c r="H329" s="187"/>
      <c r="I329" s="528" t="s">
        <v>110</v>
      </c>
      <c r="J329" s="503"/>
      <c r="K329" s="190">
        <f>K327+K328</f>
        <v>28012.5</v>
      </c>
      <c r="L329" s="196"/>
      <c r="M329" s="158"/>
      <c r="N329" s="175"/>
      <c r="O329" s="176" t="s">
        <v>111</v>
      </c>
      <c r="P329" s="176">
        <v>29</v>
      </c>
      <c r="Q329" s="176">
        <v>2</v>
      </c>
      <c r="R329" s="176">
        <f t="shared" si="97"/>
        <v>5</v>
      </c>
      <c r="S329" s="156"/>
      <c r="T329" s="176" t="s">
        <v>111</v>
      </c>
      <c r="U329" s="182">
        <f>Y328</f>
        <v>2000</v>
      </c>
      <c r="V329" s="178"/>
      <c r="W329" s="182">
        <f t="shared" si="99"/>
        <v>2000</v>
      </c>
      <c r="X329" s="178">
        <v>1000</v>
      </c>
      <c r="Y329" s="182">
        <f t="shared" si="100"/>
        <v>1000</v>
      </c>
      <c r="Z329" s="183"/>
      <c r="AA329" s="158"/>
      <c r="AB329" s="158"/>
      <c r="AC329" s="158"/>
    </row>
    <row r="330" spans="1:29" ht="18" customHeight="1" x14ac:dyDescent="0.2">
      <c r="A330" s="163"/>
      <c r="B330" s="189" t="s">
        <v>93</v>
      </c>
      <c r="C330" s="195">
        <f>IF($J$1="January",Q323,IF($J$1="February",Q324,IF($J$1="March",Q325,IF($J$1="April",Q326,IF($J$1="May",Q327,IF($J$1="June",Q328,IF($J$1="July",Q329,IF($J$1="August",Q330,IF($J$1="August",Q330,IF($J$1="September",Q331,IF($J$1="October",Q332,IF($J$1="November",Q333,IF($J$1="December",Q334)))))))))))))</f>
        <v>0</v>
      </c>
      <c r="D330" s="149"/>
      <c r="E330" s="149"/>
      <c r="F330" s="189" t="s">
        <v>11</v>
      </c>
      <c r="G330" s="190">
        <f>IF($J$1="January",X323,IF($J$1="February",X324,IF($J$1="March",X325,IF($J$1="April",X326,IF($J$1="May",X327,IF($J$1="June",X328,IF($J$1="July",X329,IF($J$1="August",X330,IF($J$1="August",X330,IF($J$1="September",X331,IF($J$1="October",X332,IF($J$1="November",X333,IF($J$1="December",X334)))))))))))))</f>
        <v>0</v>
      </c>
      <c r="H330" s="187"/>
      <c r="I330" s="528" t="s">
        <v>112</v>
      </c>
      <c r="J330" s="503"/>
      <c r="K330" s="190">
        <f>G330</f>
        <v>0</v>
      </c>
      <c r="L330" s="196"/>
      <c r="M330" s="158"/>
      <c r="N330" s="175"/>
      <c r="O330" s="176" t="s">
        <v>113</v>
      </c>
      <c r="P330" s="176">
        <v>28</v>
      </c>
      <c r="Q330" s="176">
        <v>3</v>
      </c>
      <c r="R330" s="176">
        <f t="shared" si="97"/>
        <v>2</v>
      </c>
      <c r="S330" s="156"/>
      <c r="T330" s="176" t="s">
        <v>113</v>
      </c>
      <c r="U330" s="182">
        <f>Y329</f>
        <v>1000</v>
      </c>
      <c r="V330" s="178"/>
      <c r="W330" s="182">
        <f t="shared" si="99"/>
        <v>1000</v>
      </c>
      <c r="X330" s="178">
        <v>1000</v>
      </c>
      <c r="Y330" s="182">
        <f t="shared" si="100"/>
        <v>0</v>
      </c>
      <c r="Z330" s="183"/>
      <c r="AA330" s="158"/>
      <c r="AB330" s="158"/>
      <c r="AC330" s="158"/>
    </row>
    <row r="331" spans="1:29" ht="18" customHeight="1" x14ac:dyDescent="0.2">
      <c r="A331" s="163"/>
      <c r="B331" s="204" t="s">
        <v>114</v>
      </c>
      <c r="C331" s="195">
        <f>IF($J$1="January",R323,IF($J$1="February",R324,IF($J$1="March",R325,IF($J$1="April",R326,IF($J$1="May",R327,IF($J$1="June",R328,IF($J$1="July",R329,IF($J$1="August",R330,IF($J$1="August",R330,IF($J$1="September",R331,IF($J$1="October",R332,IF($J$1="November",R333,IF($J$1="December",R334)))))))))))))</f>
        <v>2</v>
      </c>
      <c r="D331" s="149"/>
      <c r="E331" s="149"/>
      <c r="F331" s="204" t="s">
        <v>115</v>
      </c>
      <c r="G331" s="190">
        <f>IF($J$1="January",Y323,IF($J$1="February",Y324,IF($J$1="March",Y325,IF($J$1="April",Y326,IF($J$1="May",Y327,IF($J$1="June",Y328,IF($J$1="July",Y329,IF($J$1="August",Y330,IF($J$1="August",Y330,IF($J$1="September",Y331,IF($J$1="October",Y332,IF($J$1="November",Y333,IF($J$1="December",Y334)))))))))))))</f>
        <v>0</v>
      </c>
      <c r="H331" s="149"/>
      <c r="I331" s="529" t="s">
        <v>13</v>
      </c>
      <c r="J331" s="503"/>
      <c r="K331" s="37">
        <f>K329-K330</f>
        <v>28012.5</v>
      </c>
      <c r="L331" s="180"/>
      <c r="M331" s="158"/>
      <c r="N331" s="175"/>
      <c r="O331" s="176" t="s">
        <v>116</v>
      </c>
      <c r="P331" s="176">
        <v>30</v>
      </c>
      <c r="Q331" s="176">
        <v>0</v>
      </c>
      <c r="R331" s="176">
        <f t="shared" si="97"/>
        <v>2</v>
      </c>
      <c r="S331" s="156"/>
      <c r="T331" s="176" t="s">
        <v>116</v>
      </c>
      <c r="U331" s="182">
        <f>Y330</f>
        <v>0</v>
      </c>
      <c r="V331" s="178"/>
      <c r="W331" s="182">
        <f t="shared" si="99"/>
        <v>0</v>
      </c>
      <c r="X331" s="178"/>
      <c r="Y331" s="182">
        <f t="shared" si="100"/>
        <v>0</v>
      </c>
      <c r="Z331" s="183"/>
      <c r="AA331" s="158"/>
      <c r="AB331" s="158"/>
      <c r="AC331" s="158"/>
    </row>
    <row r="332" spans="1:29" ht="18" customHeight="1" x14ac:dyDescent="0.2">
      <c r="A332" s="163"/>
      <c r="B332" s="149"/>
      <c r="C332" s="149"/>
      <c r="D332" s="149"/>
      <c r="E332" s="149"/>
      <c r="F332" s="149"/>
      <c r="G332" s="149"/>
      <c r="H332" s="149"/>
      <c r="I332" s="530"/>
      <c r="J332" s="531"/>
      <c r="K332" s="151"/>
      <c r="L332" s="186"/>
      <c r="M332" s="158"/>
      <c r="N332" s="175"/>
      <c r="O332" s="176" t="s">
        <v>117</v>
      </c>
      <c r="P332" s="176"/>
      <c r="Q332" s="176"/>
      <c r="R332" s="176" t="str">
        <f t="shared" si="97"/>
        <v/>
      </c>
      <c r="S332" s="156"/>
      <c r="T332" s="176" t="s">
        <v>117</v>
      </c>
      <c r="U332" s="182"/>
      <c r="V332" s="178"/>
      <c r="W332" s="182" t="str">
        <f t="shared" si="99"/>
        <v/>
      </c>
      <c r="X332" s="178"/>
      <c r="Y332" s="182" t="str">
        <f t="shared" si="100"/>
        <v/>
      </c>
      <c r="Z332" s="183"/>
      <c r="AA332" s="158"/>
      <c r="AB332" s="158"/>
      <c r="AC332" s="158"/>
    </row>
    <row r="333" spans="1:29" ht="18" customHeight="1" x14ac:dyDescent="0.3">
      <c r="A333" s="163"/>
      <c r="B333" s="147"/>
      <c r="C333" s="147"/>
      <c r="D333" s="147"/>
      <c r="E333" s="147"/>
      <c r="F333" s="147"/>
      <c r="G333" s="147"/>
      <c r="H333" s="147"/>
      <c r="I333" s="530"/>
      <c r="J333" s="531"/>
      <c r="K333" s="151"/>
      <c r="L333" s="186"/>
      <c r="M333" s="158"/>
      <c r="N333" s="175"/>
      <c r="O333" s="176" t="s">
        <v>118</v>
      </c>
      <c r="P333" s="176"/>
      <c r="Q333" s="176"/>
      <c r="R333" s="176" t="str">
        <f t="shared" si="97"/>
        <v/>
      </c>
      <c r="S333" s="156"/>
      <c r="T333" s="176" t="s">
        <v>118</v>
      </c>
      <c r="U333" s="182"/>
      <c r="V333" s="178"/>
      <c r="W333" s="182" t="str">
        <f t="shared" si="99"/>
        <v/>
      </c>
      <c r="X333" s="178"/>
      <c r="Y333" s="182" t="str">
        <f t="shared" si="100"/>
        <v/>
      </c>
      <c r="Z333" s="183"/>
      <c r="AA333" s="158"/>
      <c r="AB333" s="158"/>
      <c r="AC333" s="158"/>
    </row>
    <row r="334" spans="1:29" ht="18" customHeight="1" thickBot="1" x14ac:dyDescent="0.35">
      <c r="A334" s="197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9"/>
      <c r="M334" s="158"/>
      <c r="N334" s="175"/>
      <c r="O334" s="176" t="s">
        <v>119</v>
      </c>
      <c r="P334" s="176"/>
      <c r="Q334" s="176"/>
      <c r="R334" s="176" t="str">
        <f t="shared" si="97"/>
        <v/>
      </c>
      <c r="S334" s="156"/>
      <c r="T334" s="176" t="s">
        <v>119</v>
      </c>
      <c r="U334" s="182"/>
      <c r="V334" s="178"/>
      <c r="W334" s="182" t="str">
        <f t="shared" si="99"/>
        <v/>
      </c>
      <c r="X334" s="178"/>
      <c r="Y334" s="182" t="str">
        <f t="shared" si="100"/>
        <v/>
      </c>
      <c r="Z334" s="183"/>
      <c r="AA334" s="158"/>
      <c r="AB334" s="158"/>
      <c r="AC334" s="158"/>
    </row>
    <row r="335" spans="1:29" ht="18" customHeight="1" thickBot="1" x14ac:dyDescent="0.25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1"/>
      <c r="N335" s="202"/>
      <c r="O335" s="202"/>
      <c r="P335" s="202"/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  <c r="AA335" s="201"/>
      <c r="AB335" s="201"/>
      <c r="AC335" s="201"/>
    </row>
    <row r="336" spans="1:29" ht="18" customHeight="1" thickBot="1" x14ac:dyDescent="0.25">
      <c r="A336" s="532" t="s">
        <v>87</v>
      </c>
      <c r="B336" s="533"/>
      <c r="C336" s="533"/>
      <c r="D336" s="533"/>
      <c r="E336" s="533"/>
      <c r="F336" s="533"/>
      <c r="G336" s="533"/>
      <c r="H336" s="533"/>
      <c r="I336" s="533"/>
      <c r="J336" s="533"/>
      <c r="K336" s="533"/>
      <c r="L336" s="534"/>
      <c r="M336" s="159"/>
      <c r="N336" s="160"/>
      <c r="O336" s="524" t="s">
        <v>88</v>
      </c>
      <c r="P336" s="525"/>
      <c r="Q336" s="525"/>
      <c r="R336" s="526"/>
      <c r="S336" s="161"/>
      <c r="T336" s="524" t="s">
        <v>89</v>
      </c>
      <c r="U336" s="525"/>
      <c r="V336" s="525"/>
      <c r="W336" s="525"/>
      <c r="X336" s="525"/>
      <c r="Y336" s="526"/>
      <c r="Z336" s="162"/>
      <c r="AA336" s="158"/>
      <c r="AB336" s="158"/>
      <c r="AC336" s="158"/>
    </row>
    <row r="337" spans="1:29" ht="18" customHeight="1" x14ac:dyDescent="0.2">
      <c r="A337" s="163"/>
      <c r="B337" s="149"/>
      <c r="C337" s="535" t="s">
        <v>158</v>
      </c>
      <c r="D337" s="531"/>
      <c r="E337" s="531"/>
      <c r="F337" s="531"/>
      <c r="G337" s="164" t="str">
        <f>$J$1</f>
        <v>September</v>
      </c>
      <c r="H337" s="536">
        <f>$K$1</f>
        <v>2024</v>
      </c>
      <c r="I337" s="531"/>
      <c r="J337" s="149"/>
      <c r="K337" s="165"/>
      <c r="L337" s="166"/>
      <c r="M337" s="167"/>
      <c r="N337" s="168"/>
      <c r="O337" s="169" t="s">
        <v>91</v>
      </c>
      <c r="P337" s="169" t="s">
        <v>92</v>
      </c>
      <c r="Q337" s="169" t="s">
        <v>93</v>
      </c>
      <c r="R337" s="169" t="s">
        <v>94</v>
      </c>
      <c r="S337" s="170"/>
      <c r="T337" s="169" t="s">
        <v>91</v>
      </c>
      <c r="U337" s="169" t="s">
        <v>95</v>
      </c>
      <c r="V337" s="169" t="s">
        <v>9</v>
      </c>
      <c r="W337" s="169" t="s">
        <v>10</v>
      </c>
      <c r="X337" s="169" t="s">
        <v>11</v>
      </c>
      <c r="Y337" s="169" t="s">
        <v>96</v>
      </c>
      <c r="Z337" s="171"/>
      <c r="AA337" s="158"/>
      <c r="AB337" s="158"/>
      <c r="AC337" s="158"/>
    </row>
    <row r="338" spans="1:29" ht="18" customHeight="1" x14ac:dyDescent="0.2">
      <c r="A338" s="163"/>
      <c r="B338" s="149"/>
      <c r="C338" s="149"/>
      <c r="D338" s="172"/>
      <c r="E338" s="172"/>
      <c r="F338" s="172"/>
      <c r="G338" s="172"/>
      <c r="H338" s="172"/>
      <c r="I338" s="149"/>
      <c r="J338" s="173" t="s">
        <v>97</v>
      </c>
      <c r="K338" s="151">
        <f>27000+8000+2500</f>
        <v>37500</v>
      </c>
      <c r="L338" s="174"/>
      <c r="M338" s="158"/>
      <c r="N338" s="175"/>
      <c r="O338" s="176" t="s">
        <v>98</v>
      </c>
      <c r="P338" s="176">
        <v>30</v>
      </c>
      <c r="Q338" s="176">
        <v>1</v>
      </c>
      <c r="R338" s="176">
        <f>15-Q338</f>
        <v>14</v>
      </c>
      <c r="S338" s="177"/>
      <c r="T338" s="176" t="s">
        <v>98</v>
      </c>
      <c r="U338" s="178"/>
      <c r="V338" s="178">
        <v>20000</v>
      </c>
      <c r="W338" s="178">
        <f>V338+U338</f>
        <v>20000</v>
      </c>
      <c r="X338" s="178">
        <v>2000</v>
      </c>
      <c r="Y338" s="178">
        <f>W338-X338-15000</f>
        <v>3000</v>
      </c>
      <c r="Z338" s="171"/>
      <c r="AA338" s="158" t="s">
        <v>159</v>
      </c>
      <c r="AB338" s="158"/>
      <c r="AC338" s="158"/>
    </row>
    <row r="339" spans="1:29" ht="18" customHeight="1" x14ac:dyDescent="0.2">
      <c r="A339" s="163"/>
      <c r="B339" s="149" t="s">
        <v>99</v>
      </c>
      <c r="C339" s="148" t="s">
        <v>160</v>
      </c>
      <c r="D339" s="149"/>
      <c r="E339" s="149"/>
      <c r="F339" s="149"/>
      <c r="G339" s="149"/>
      <c r="H339" s="179"/>
      <c r="I339" s="172"/>
      <c r="J339" s="149"/>
      <c r="K339" s="149"/>
      <c r="L339" s="180"/>
      <c r="M339" s="159"/>
      <c r="N339" s="181"/>
      <c r="O339" s="176" t="s">
        <v>100</v>
      </c>
      <c r="P339" s="176">
        <v>28</v>
      </c>
      <c r="Q339" s="176">
        <v>1</v>
      </c>
      <c r="R339" s="176">
        <f t="shared" ref="R339:R349" si="101">IF(Q339="","",R338-Q339)</f>
        <v>13</v>
      </c>
      <c r="S339" s="156"/>
      <c r="T339" s="176" t="s">
        <v>100</v>
      </c>
      <c r="U339" s="182">
        <f t="shared" ref="U339:U340" si="102">Y338</f>
        <v>3000</v>
      </c>
      <c r="V339" s="178"/>
      <c r="W339" s="182">
        <f t="shared" ref="W339:W349" si="103">IF(U339="","",U339+V339)</f>
        <v>3000</v>
      </c>
      <c r="X339" s="178">
        <v>1500</v>
      </c>
      <c r="Y339" s="182">
        <f t="shared" ref="Y339:Y349" si="104">IF(W339="","",W339-X339)</f>
        <v>1500</v>
      </c>
      <c r="Z339" s="183"/>
      <c r="AA339" s="158"/>
      <c r="AB339" s="158"/>
      <c r="AC339" s="158"/>
    </row>
    <row r="340" spans="1:29" ht="18" customHeight="1" x14ac:dyDescent="0.2">
      <c r="A340" s="163"/>
      <c r="B340" s="184" t="s">
        <v>101</v>
      </c>
      <c r="C340" s="185"/>
      <c r="D340" s="149"/>
      <c r="E340" s="149"/>
      <c r="F340" s="529" t="s">
        <v>89</v>
      </c>
      <c r="G340" s="503"/>
      <c r="H340" s="149"/>
      <c r="I340" s="529" t="s">
        <v>102</v>
      </c>
      <c r="J340" s="502"/>
      <c r="K340" s="503"/>
      <c r="L340" s="186"/>
      <c r="M340" s="158"/>
      <c r="N340" s="175"/>
      <c r="O340" s="176" t="s">
        <v>103</v>
      </c>
      <c r="P340" s="176">
        <v>30</v>
      </c>
      <c r="Q340" s="176">
        <v>1</v>
      </c>
      <c r="R340" s="176">
        <f t="shared" si="101"/>
        <v>12</v>
      </c>
      <c r="S340" s="156"/>
      <c r="T340" s="176" t="s">
        <v>103</v>
      </c>
      <c r="U340" s="182">
        <f t="shared" si="102"/>
        <v>1500</v>
      </c>
      <c r="V340" s="178"/>
      <c r="W340" s="182">
        <f t="shared" si="103"/>
        <v>1500</v>
      </c>
      <c r="X340" s="178">
        <v>1500</v>
      </c>
      <c r="Y340" s="182">
        <f t="shared" si="104"/>
        <v>0</v>
      </c>
      <c r="Z340" s="183"/>
      <c r="AA340" s="158"/>
      <c r="AB340" s="158"/>
      <c r="AC340" s="158"/>
    </row>
    <row r="341" spans="1:29" ht="18" customHeight="1" x14ac:dyDescent="0.2">
      <c r="A341" s="163"/>
      <c r="B341" s="149"/>
      <c r="C341" s="149"/>
      <c r="D341" s="149"/>
      <c r="E341" s="149"/>
      <c r="F341" s="149"/>
      <c r="G341" s="149"/>
      <c r="H341" s="187"/>
      <c r="I341" s="149"/>
      <c r="J341" s="149"/>
      <c r="K341" s="149"/>
      <c r="L341" s="188"/>
      <c r="M341" s="158"/>
      <c r="N341" s="175"/>
      <c r="O341" s="176" t="s">
        <v>104</v>
      </c>
      <c r="P341" s="176">
        <v>25</v>
      </c>
      <c r="Q341" s="176">
        <v>5</v>
      </c>
      <c r="R341" s="176">
        <f t="shared" si="101"/>
        <v>7</v>
      </c>
      <c r="S341" s="156"/>
      <c r="T341" s="176" t="s">
        <v>104</v>
      </c>
      <c r="U341" s="182">
        <f>IF($J$1="March","",Y340)</f>
        <v>0</v>
      </c>
      <c r="V341" s="178"/>
      <c r="W341" s="182">
        <f t="shared" si="103"/>
        <v>0</v>
      </c>
      <c r="X341" s="178"/>
      <c r="Y341" s="182">
        <f t="shared" si="104"/>
        <v>0</v>
      </c>
      <c r="Z341" s="183"/>
      <c r="AA341" s="158"/>
      <c r="AB341" s="158"/>
      <c r="AC341" s="158"/>
    </row>
    <row r="342" spans="1:29" ht="18" customHeight="1" x14ac:dyDescent="0.2">
      <c r="A342" s="163"/>
      <c r="B342" s="527" t="s">
        <v>88</v>
      </c>
      <c r="C342" s="503"/>
      <c r="D342" s="149"/>
      <c r="E342" s="149"/>
      <c r="F342" s="189" t="s">
        <v>105</v>
      </c>
      <c r="G342" s="190">
        <f>IF($J$1="January",U338,IF($J$1="February",U339,IF($J$1="March",U340,IF($J$1="April",U341,IF($J$1="May",U342,IF($J$1="June",U343,IF($J$1="July",U344,IF($J$1="August",U345,IF($J$1="August",U345,IF($J$1="September",U346,IF($J$1="October",U347,IF($J$1="November",U348,IF($J$1="December",U349)))))))))))))</f>
        <v>0</v>
      </c>
      <c r="H342" s="187"/>
      <c r="I342" s="191">
        <v>30</v>
      </c>
      <c r="J342" s="192" t="s">
        <v>106</v>
      </c>
      <c r="K342" s="193">
        <f>K338/$K$2*I342</f>
        <v>37500</v>
      </c>
      <c r="L342" s="194"/>
      <c r="M342" s="158"/>
      <c r="N342" s="175"/>
      <c r="O342" s="176" t="s">
        <v>107</v>
      </c>
      <c r="P342" s="176">
        <v>30</v>
      </c>
      <c r="Q342" s="176">
        <v>1</v>
      </c>
      <c r="R342" s="176">
        <f t="shared" si="101"/>
        <v>6</v>
      </c>
      <c r="S342" s="156"/>
      <c r="T342" s="176" t="s">
        <v>107</v>
      </c>
      <c r="U342" s="182">
        <f>IF($J$1="April","",Y341)</f>
        <v>0</v>
      </c>
      <c r="V342" s="178"/>
      <c r="W342" s="182">
        <f t="shared" si="103"/>
        <v>0</v>
      </c>
      <c r="X342" s="178"/>
      <c r="Y342" s="182">
        <f t="shared" si="104"/>
        <v>0</v>
      </c>
      <c r="Z342" s="183"/>
      <c r="AA342" s="158"/>
      <c r="AB342" s="158"/>
      <c r="AC342" s="158"/>
    </row>
    <row r="343" spans="1:29" ht="18" customHeight="1" x14ac:dyDescent="0.2">
      <c r="A343" s="163"/>
      <c r="B343" s="195"/>
      <c r="C343" s="195"/>
      <c r="D343" s="149"/>
      <c r="E343" s="149"/>
      <c r="F343" s="189" t="s">
        <v>9</v>
      </c>
      <c r="G343" s="190">
        <f>IF($J$1="January",V338,IF($J$1="February",V339,IF($J$1="March",V340,IF($J$1="April",V341,IF($J$1="May",V342,IF($J$1="June",V343,IF($J$1="July",V344,IF($J$1="August",V345,IF($J$1="August",V345,IF($J$1="September",V346,IF($J$1="October",V347,IF($J$1="November",V348,IF($J$1="December",V349)))))))))))))</f>
        <v>0</v>
      </c>
      <c r="H343" s="187"/>
      <c r="I343" s="191">
        <v>25</v>
      </c>
      <c r="J343" s="192" t="s">
        <v>108</v>
      </c>
      <c r="K343" s="190">
        <f>K338/$K$2/8*I343</f>
        <v>3906.25</v>
      </c>
      <c r="L343" s="196"/>
      <c r="M343" s="158"/>
      <c r="N343" s="175"/>
      <c r="O343" s="176" t="s">
        <v>84</v>
      </c>
      <c r="P343" s="176">
        <v>30</v>
      </c>
      <c r="Q343" s="176">
        <v>0</v>
      </c>
      <c r="R343" s="176">
        <f t="shared" si="101"/>
        <v>6</v>
      </c>
      <c r="S343" s="156"/>
      <c r="T343" s="176" t="s">
        <v>84</v>
      </c>
      <c r="U343" s="182">
        <f>Y342</f>
        <v>0</v>
      </c>
      <c r="V343" s="178"/>
      <c r="W343" s="182">
        <f t="shared" si="103"/>
        <v>0</v>
      </c>
      <c r="X343" s="178"/>
      <c r="Y343" s="182">
        <f t="shared" si="104"/>
        <v>0</v>
      </c>
      <c r="Z343" s="183"/>
      <c r="AA343" s="158"/>
      <c r="AB343" s="158"/>
      <c r="AC343" s="158"/>
    </row>
    <row r="344" spans="1:29" ht="18" customHeight="1" x14ac:dyDescent="0.2">
      <c r="A344" s="163"/>
      <c r="B344" s="189" t="s">
        <v>92</v>
      </c>
      <c r="C344" s="195">
        <f>IF($J$1="January",P338,IF($J$1="February",P339,IF($J$1="March",P340,IF($J$1="April",P341,IF($J$1="May",P342,IF($J$1="June",P343,IF($J$1="July",P344,IF($J$1="August",P345,IF($J$1="August",P345,IF($J$1="September",P346,IF($J$1="October",P347,IF($J$1="November",P348,IF($J$1="December",P349)))))))))))))</f>
        <v>27</v>
      </c>
      <c r="D344" s="149"/>
      <c r="E344" s="149"/>
      <c r="F344" s="189" t="s">
        <v>109</v>
      </c>
      <c r="G344" s="190" t="str">
        <f>IF($J$1="January",W338,IF($J$1="February",W339,IF($J$1="March",W340,IF($J$1="April",W341,IF($J$1="May",W342,IF($J$1="June",W343,IF($J$1="July",W344,IF($J$1="August",W345,IF($J$1="August",W345,IF($J$1="September",W346,IF($J$1="October",W347,IF($J$1="November",W348,IF($J$1="December",W349)))))))))))))</f>
        <v/>
      </c>
      <c r="H344" s="187"/>
      <c r="I344" s="528" t="s">
        <v>110</v>
      </c>
      <c r="J344" s="503"/>
      <c r="K344" s="190">
        <f>K342+K343</f>
        <v>41406.25</v>
      </c>
      <c r="L344" s="196"/>
      <c r="M344" s="158"/>
      <c r="N344" s="175"/>
      <c r="O344" s="176" t="s">
        <v>111</v>
      </c>
      <c r="P344" s="176">
        <v>30</v>
      </c>
      <c r="Q344" s="176">
        <v>1</v>
      </c>
      <c r="R344" s="176">
        <f t="shared" si="101"/>
        <v>5</v>
      </c>
      <c r="S344" s="156"/>
      <c r="T344" s="176" t="s">
        <v>111</v>
      </c>
      <c r="U344" s="182">
        <f>IF($J$1="June","",Y343)</f>
        <v>0</v>
      </c>
      <c r="V344" s="178"/>
      <c r="W344" s="182">
        <f t="shared" si="103"/>
        <v>0</v>
      </c>
      <c r="X344" s="178"/>
      <c r="Y344" s="182">
        <f t="shared" si="104"/>
        <v>0</v>
      </c>
      <c r="Z344" s="183"/>
      <c r="AA344" s="158"/>
      <c r="AB344" s="158"/>
      <c r="AC344" s="158"/>
    </row>
    <row r="345" spans="1:29" ht="18" customHeight="1" x14ac:dyDescent="0.2">
      <c r="A345" s="163"/>
      <c r="B345" s="189" t="s">
        <v>93</v>
      </c>
      <c r="C345" s="195">
        <f>IF($J$1="January",Q338,IF($J$1="February",Q339,IF($J$1="March",Q340,IF($J$1="April",Q341,IF($J$1="May",Q342,IF($J$1="June",Q343,IF($J$1="July",Q344,IF($J$1="August",Q345,IF($J$1="August",Q345,IF($J$1="September",Q346,IF($J$1="October",Q347,IF($J$1="November",Q348,IF($J$1="December",Q349)))))))))))))</f>
        <v>3</v>
      </c>
      <c r="D345" s="149"/>
      <c r="E345" s="149"/>
      <c r="F345" s="189" t="s">
        <v>11</v>
      </c>
      <c r="G345" s="190">
        <f>IF($J$1="January",X338,IF($J$1="February",X339,IF($J$1="March",X340,IF($J$1="April",X341,IF($J$1="May",X342,IF($J$1="June",X343,IF($J$1="July",X344,IF($J$1="August",X345,IF($J$1="August",X345,IF($J$1="September",X346,IF($J$1="October",X347,IF($J$1="November",X348,IF($J$1="December",X349)))))))))))))</f>
        <v>0</v>
      </c>
      <c r="H345" s="187"/>
      <c r="I345" s="528" t="s">
        <v>112</v>
      </c>
      <c r="J345" s="503"/>
      <c r="K345" s="190">
        <f>G345</f>
        <v>0</v>
      </c>
      <c r="L345" s="196"/>
      <c r="M345" s="158"/>
      <c r="N345" s="175"/>
      <c r="O345" s="176" t="s">
        <v>113</v>
      </c>
      <c r="P345" s="176">
        <v>31</v>
      </c>
      <c r="Q345" s="176">
        <v>0</v>
      </c>
      <c r="R345" s="176">
        <f t="shared" si="101"/>
        <v>5</v>
      </c>
      <c r="S345" s="156"/>
      <c r="T345" s="176" t="s">
        <v>113</v>
      </c>
      <c r="U345" s="182"/>
      <c r="V345" s="178"/>
      <c r="W345" s="182" t="str">
        <f t="shared" si="103"/>
        <v/>
      </c>
      <c r="X345" s="178"/>
      <c r="Y345" s="182" t="str">
        <f t="shared" si="104"/>
        <v/>
      </c>
      <c r="Z345" s="183"/>
      <c r="AA345" s="158"/>
      <c r="AB345" s="158"/>
      <c r="AC345" s="158"/>
    </row>
    <row r="346" spans="1:29" ht="18" customHeight="1" x14ac:dyDescent="0.2">
      <c r="A346" s="163"/>
      <c r="B346" s="204" t="s">
        <v>114</v>
      </c>
      <c r="C346" s="195">
        <f>IF($J$1="January",R338,IF($J$1="February",R339,IF($J$1="March",R340,IF($J$1="April",R341,IF($J$1="May",R342,IF($J$1="June",R343,IF($J$1="July",R344,IF($J$1="August",R345,IF($J$1="August",R345,IF($J$1="September",R346,IF($J$1="October",R347,IF($J$1="November",R348,IF($J$1="December",R349)))))))))))))</f>
        <v>2</v>
      </c>
      <c r="D346" s="149"/>
      <c r="E346" s="149"/>
      <c r="F346" s="204" t="s">
        <v>115</v>
      </c>
      <c r="G346" s="190" t="str">
        <f>IF($J$1="January",Y338,IF($J$1="February",Y339,IF($J$1="March",Y340,IF($J$1="April",Y341,IF($J$1="May",Y342,IF($J$1="June",Y343,IF($J$1="July",Y344,IF($J$1="August",Y345,IF($J$1="August",Y345,IF($J$1="September",Y346,IF($J$1="October",Y347,IF($J$1="November",Y348,IF($J$1="December",Y349)))))))))))))</f>
        <v/>
      </c>
      <c r="H346" s="149"/>
      <c r="I346" s="529" t="s">
        <v>13</v>
      </c>
      <c r="J346" s="503"/>
      <c r="K346" s="37">
        <f>K344-K345</f>
        <v>41406.25</v>
      </c>
      <c r="L346" s="180"/>
      <c r="M346" s="158"/>
      <c r="N346" s="175"/>
      <c r="O346" s="176" t="s">
        <v>116</v>
      </c>
      <c r="P346" s="176">
        <v>27</v>
      </c>
      <c r="Q346" s="176">
        <v>3</v>
      </c>
      <c r="R346" s="176">
        <f t="shared" si="101"/>
        <v>2</v>
      </c>
      <c r="S346" s="156"/>
      <c r="T346" s="176" t="s">
        <v>116</v>
      </c>
      <c r="U346" s="182"/>
      <c r="V346" s="178"/>
      <c r="W346" s="182" t="str">
        <f t="shared" si="103"/>
        <v/>
      </c>
      <c r="X346" s="178"/>
      <c r="Y346" s="182" t="str">
        <f t="shared" si="104"/>
        <v/>
      </c>
      <c r="Z346" s="183"/>
      <c r="AA346" s="158"/>
      <c r="AB346" s="158"/>
      <c r="AC346" s="158"/>
    </row>
    <row r="347" spans="1:29" ht="18" customHeight="1" x14ac:dyDescent="0.2">
      <c r="A347" s="163"/>
      <c r="B347" s="149"/>
      <c r="C347" s="149"/>
      <c r="D347" s="149"/>
      <c r="E347" s="149"/>
      <c r="F347" s="149"/>
      <c r="G347" s="149"/>
      <c r="H347" s="149"/>
      <c r="I347" s="530"/>
      <c r="J347" s="531"/>
      <c r="K347" s="151"/>
      <c r="L347" s="186"/>
      <c r="M347" s="158"/>
      <c r="N347" s="175"/>
      <c r="O347" s="176" t="s">
        <v>117</v>
      </c>
      <c r="P347" s="176"/>
      <c r="Q347" s="176"/>
      <c r="R347" s="176" t="str">
        <f t="shared" si="101"/>
        <v/>
      </c>
      <c r="S347" s="156"/>
      <c r="T347" s="176" t="s">
        <v>117</v>
      </c>
      <c r="U347" s="182"/>
      <c r="V347" s="178"/>
      <c r="W347" s="182" t="str">
        <f t="shared" si="103"/>
        <v/>
      </c>
      <c r="X347" s="178"/>
      <c r="Y347" s="182" t="str">
        <f t="shared" si="104"/>
        <v/>
      </c>
      <c r="Z347" s="183"/>
      <c r="AA347" s="158"/>
      <c r="AB347" s="158"/>
      <c r="AC347" s="158"/>
    </row>
    <row r="348" spans="1:29" ht="18" customHeight="1" x14ac:dyDescent="0.3">
      <c r="A348" s="163"/>
      <c r="B348" s="147"/>
      <c r="C348" s="147"/>
      <c r="D348" s="147"/>
      <c r="E348" s="147"/>
      <c r="F348" s="147"/>
      <c r="G348" s="147"/>
      <c r="H348" s="147"/>
      <c r="I348" s="530"/>
      <c r="J348" s="531"/>
      <c r="K348" s="151"/>
      <c r="L348" s="186"/>
      <c r="M348" s="158"/>
      <c r="N348" s="175"/>
      <c r="O348" s="176" t="s">
        <v>118</v>
      </c>
      <c r="P348" s="176"/>
      <c r="Q348" s="176"/>
      <c r="R348" s="176" t="str">
        <f t="shared" si="101"/>
        <v/>
      </c>
      <c r="S348" s="156"/>
      <c r="T348" s="176" t="s">
        <v>118</v>
      </c>
      <c r="U348" s="182"/>
      <c r="V348" s="178"/>
      <c r="W348" s="182" t="str">
        <f t="shared" si="103"/>
        <v/>
      </c>
      <c r="X348" s="178"/>
      <c r="Y348" s="182" t="str">
        <f t="shared" si="104"/>
        <v/>
      </c>
      <c r="Z348" s="183"/>
      <c r="AA348" s="158"/>
      <c r="AB348" s="158"/>
      <c r="AC348" s="158"/>
    </row>
    <row r="349" spans="1:29" ht="18" customHeight="1" thickBot="1" x14ac:dyDescent="0.35">
      <c r="A349" s="197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9"/>
      <c r="M349" s="158"/>
      <c r="N349" s="175"/>
      <c r="O349" s="176" t="s">
        <v>119</v>
      </c>
      <c r="P349" s="176"/>
      <c r="Q349" s="176"/>
      <c r="R349" s="176" t="str">
        <f t="shared" si="101"/>
        <v/>
      </c>
      <c r="S349" s="156"/>
      <c r="T349" s="176" t="s">
        <v>119</v>
      </c>
      <c r="U349" s="182"/>
      <c r="V349" s="178"/>
      <c r="W349" s="182" t="str">
        <f t="shared" si="103"/>
        <v/>
      </c>
      <c r="X349" s="178"/>
      <c r="Y349" s="182" t="str">
        <f t="shared" si="104"/>
        <v/>
      </c>
      <c r="Z349" s="183"/>
      <c r="AA349" s="158"/>
      <c r="AB349" s="158"/>
      <c r="AC349" s="158"/>
    </row>
    <row r="350" spans="1:29" ht="18" customHeight="1" thickBot="1" x14ac:dyDescent="0.25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1"/>
      <c r="N350" s="202"/>
      <c r="O350" s="202"/>
      <c r="P350" s="202"/>
      <c r="Q350" s="202"/>
      <c r="R350" s="202"/>
      <c r="S350" s="202"/>
      <c r="T350" s="202"/>
      <c r="U350" s="202"/>
      <c r="V350" s="202"/>
      <c r="W350" s="202"/>
      <c r="X350" s="202"/>
      <c r="Y350" s="202"/>
      <c r="Z350" s="202"/>
      <c r="AA350" s="201"/>
      <c r="AB350" s="201"/>
      <c r="AC350" s="201"/>
    </row>
    <row r="351" spans="1:29" ht="18" customHeight="1" thickBot="1" x14ac:dyDescent="0.25">
      <c r="A351" s="532" t="s">
        <v>87</v>
      </c>
      <c r="B351" s="533"/>
      <c r="C351" s="533"/>
      <c r="D351" s="533"/>
      <c r="E351" s="533"/>
      <c r="F351" s="533"/>
      <c r="G351" s="533"/>
      <c r="H351" s="533"/>
      <c r="I351" s="533"/>
      <c r="J351" s="533"/>
      <c r="K351" s="533"/>
      <c r="L351" s="534"/>
      <c r="M351" s="159"/>
      <c r="N351" s="160"/>
      <c r="O351" s="524" t="s">
        <v>88</v>
      </c>
      <c r="P351" s="525"/>
      <c r="Q351" s="525"/>
      <c r="R351" s="526"/>
      <c r="S351" s="161"/>
      <c r="T351" s="524" t="s">
        <v>89</v>
      </c>
      <c r="U351" s="525"/>
      <c r="V351" s="525"/>
      <c r="W351" s="525"/>
      <c r="X351" s="525"/>
      <c r="Y351" s="526"/>
      <c r="Z351" s="162"/>
      <c r="AA351" s="158"/>
      <c r="AB351" s="158"/>
      <c r="AC351" s="158"/>
    </row>
    <row r="352" spans="1:29" ht="18" customHeight="1" x14ac:dyDescent="0.2">
      <c r="A352" s="163"/>
      <c r="B352" s="149"/>
      <c r="C352" s="535" t="s">
        <v>161</v>
      </c>
      <c r="D352" s="531"/>
      <c r="E352" s="531"/>
      <c r="F352" s="531"/>
      <c r="G352" s="164" t="str">
        <f>$J$1</f>
        <v>September</v>
      </c>
      <c r="H352" s="536">
        <f>$K$1</f>
        <v>2024</v>
      </c>
      <c r="I352" s="531"/>
      <c r="J352" s="149"/>
      <c r="K352" s="165"/>
      <c r="L352" s="166"/>
      <c r="M352" s="167"/>
      <c r="N352" s="168"/>
      <c r="O352" s="169" t="s">
        <v>91</v>
      </c>
      <c r="P352" s="169" t="s">
        <v>92</v>
      </c>
      <c r="Q352" s="169" t="s">
        <v>93</v>
      </c>
      <c r="R352" s="169" t="s">
        <v>94</v>
      </c>
      <c r="S352" s="170"/>
      <c r="T352" s="169" t="s">
        <v>91</v>
      </c>
      <c r="U352" s="169" t="s">
        <v>95</v>
      </c>
      <c r="V352" s="169" t="s">
        <v>9</v>
      </c>
      <c r="W352" s="169" t="s">
        <v>10</v>
      </c>
      <c r="X352" s="169" t="s">
        <v>11</v>
      </c>
      <c r="Y352" s="169" t="s">
        <v>96</v>
      </c>
      <c r="Z352" s="171"/>
      <c r="AA352" s="158"/>
      <c r="AB352" s="158"/>
      <c r="AC352" s="158"/>
    </row>
    <row r="353" spans="1:29" ht="18" customHeight="1" x14ac:dyDescent="0.2">
      <c r="A353" s="163"/>
      <c r="B353" s="149"/>
      <c r="C353" s="149"/>
      <c r="D353" s="172"/>
      <c r="E353" s="172"/>
      <c r="F353" s="172"/>
      <c r="G353" s="172"/>
      <c r="H353" s="172"/>
      <c r="I353" s="149"/>
      <c r="J353" s="173" t="s">
        <v>97</v>
      </c>
      <c r="K353" s="151">
        <f>21000+6000+3000</f>
        <v>30000</v>
      </c>
      <c r="L353" s="174"/>
      <c r="M353" s="158"/>
      <c r="N353" s="175"/>
      <c r="O353" s="176" t="s">
        <v>98</v>
      </c>
      <c r="P353" s="176">
        <v>30</v>
      </c>
      <c r="Q353" s="176">
        <v>1</v>
      </c>
      <c r="R353" s="176">
        <f>15-Q353</f>
        <v>14</v>
      </c>
      <c r="S353" s="177"/>
      <c r="T353" s="176" t="s">
        <v>98</v>
      </c>
      <c r="U353" s="178"/>
      <c r="V353" s="178"/>
      <c r="W353" s="178">
        <f>V353+U353</f>
        <v>0</v>
      </c>
      <c r="X353" s="178"/>
      <c r="Y353" s="178">
        <f>W353-X353</f>
        <v>0</v>
      </c>
      <c r="Z353" s="171"/>
      <c r="AA353" s="158"/>
      <c r="AB353" s="158"/>
      <c r="AC353" s="158"/>
    </row>
    <row r="354" spans="1:29" ht="18" customHeight="1" x14ac:dyDescent="0.2">
      <c r="A354" s="163"/>
      <c r="B354" s="149" t="s">
        <v>99</v>
      </c>
      <c r="C354" s="148" t="s">
        <v>162</v>
      </c>
      <c r="D354" s="149"/>
      <c r="E354" s="149"/>
      <c r="F354" s="149"/>
      <c r="G354" s="149"/>
      <c r="H354" s="179"/>
      <c r="I354" s="172"/>
      <c r="J354" s="149"/>
      <c r="K354" s="149"/>
      <c r="L354" s="180"/>
      <c r="M354" s="159"/>
      <c r="N354" s="181"/>
      <c r="O354" s="176" t="s">
        <v>100</v>
      </c>
      <c r="P354" s="176">
        <v>27</v>
      </c>
      <c r="Q354" s="176">
        <v>2</v>
      </c>
      <c r="R354" s="176">
        <f t="shared" ref="R354:R363" si="105">IF(Q354="","",R353-Q354)</f>
        <v>12</v>
      </c>
      <c r="S354" s="156"/>
      <c r="T354" s="176" t="s">
        <v>100</v>
      </c>
      <c r="U354" s="182">
        <f>IF($J$1="January","",Y353)</f>
        <v>0</v>
      </c>
      <c r="V354" s="178"/>
      <c r="W354" s="182">
        <f t="shared" ref="W354:W364" si="106">IF(U354="","",U354+V354)</f>
        <v>0</v>
      </c>
      <c r="X354" s="178"/>
      <c r="Y354" s="182">
        <f t="shared" ref="Y354:Y364" si="107">IF(W354="","",W354-X354)</f>
        <v>0</v>
      </c>
      <c r="Z354" s="183"/>
      <c r="AA354" s="158"/>
      <c r="AB354" s="158"/>
      <c r="AC354" s="158"/>
    </row>
    <row r="355" spans="1:29" ht="18" customHeight="1" x14ac:dyDescent="0.2">
      <c r="A355" s="163"/>
      <c r="B355" s="184" t="s">
        <v>101</v>
      </c>
      <c r="C355" s="185"/>
      <c r="D355" s="149"/>
      <c r="E355" s="149"/>
      <c r="F355" s="529" t="s">
        <v>89</v>
      </c>
      <c r="G355" s="503"/>
      <c r="H355" s="149"/>
      <c r="I355" s="529" t="s">
        <v>102</v>
      </c>
      <c r="J355" s="502"/>
      <c r="K355" s="503"/>
      <c r="L355" s="186"/>
      <c r="M355" s="158"/>
      <c r="N355" s="175"/>
      <c r="O355" s="176" t="s">
        <v>103</v>
      </c>
      <c r="P355" s="176">
        <v>31</v>
      </c>
      <c r="Q355" s="176">
        <v>0</v>
      </c>
      <c r="R355" s="176">
        <f t="shared" si="105"/>
        <v>12</v>
      </c>
      <c r="S355" s="156"/>
      <c r="T355" s="176" t="s">
        <v>103</v>
      </c>
      <c r="U355" s="182">
        <f>IF($J$1="February","",Y354)</f>
        <v>0</v>
      </c>
      <c r="V355" s="178"/>
      <c r="W355" s="182">
        <f t="shared" si="106"/>
        <v>0</v>
      </c>
      <c r="X355" s="178"/>
      <c r="Y355" s="182">
        <f t="shared" si="107"/>
        <v>0</v>
      </c>
      <c r="Z355" s="183"/>
      <c r="AA355" s="158"/>
      <c r="AB355" s="158"/>
      <c r="AC355" s="158"/>
    </row>
    <row r="356" spans="1:29" ht="18" customHeight="1" x14ac:dyDescent="0.2">
      <c r="A356" s="163"/>
      <c r="B356" s="149"/>
      <c r="C356" s="149"/>
      <c r="D356" s="149"/>
      <c r="E356" s="149"/>
      <c r="F356" s="149"/>
      <c r="G356" s="149"/>
      <c r="H356" s="187"/>
      <c r="I356" s="149"/>
      <c r="J356" s="149"/>
      <c r="K356" s="149"/>
      <c r="L356" s="188"/>
      <c r="M356" s="158"/>
      <c r="N356" s="175"/>
      <c r="O356" s="176" t="s">
        <v>104</v>
      </c>
      <c r="P356" s="176">
        <v>29</v>
      </c>
      <c r="Q356" s="176">
        <v>1</v>
      </c>
      <c r="R356" s="176">
        <f t="shared" si="105"/>
        <v>11</v>
      </c>
      <c r="S356" s="156"/>
      <c r="T356" s="176" t="s">
        <v>104</v>
      </c>
      <c r="U356" s="182">
        <f>IF($J$1="March","",Y355)</f>
        <v>0</v>
      </c>
      <c r="V356" s="178"/>
      <c r="W356" s="182">
        <f t="shared" si="106"/>
        <v>0</v>
      </c>
      <c r="X356" s="178"/>
      <c r="Y356" s="182">
        <f t="shared" si="107"/>
        <v>0</v>
      </c>
      <c r="Z356" s="183"/>
      <c r="AA356" s="158"/>
      <c r="AB356" s="158"/>
      <c r="AC356" s="158"/>
    </row>
    <row r="357" spans="1:29" ht="18" customHeight="1" x14ac:dyDescent="0.2">
      <c r="A357" s="163"/>
      <c r="B357" s="527" t="s">
        <v>88</v>
      </c>
      <c r="C357" s="503"/>
      <c r="D357" s="149"/>
      <c r="E357" s="149"/>
      <c r="F357" s="189" t="s">
        <v>105</v>
      </c>
      <c r="G357" s="190">
        <f>IF($J$1="January",U353,IF($J$1="February",U354,IF($J$1="March",U355,IF($J$1="April",U356,IF($J$1="May",U357,IF($J$1="June",U358,IF($J$1="July",U359,IF($J$1="August",U360,IF($J$1="August",U360,IF($J$1="September",U361,IF($J$1="October",U362,IF($J$1="November",U363,IF($J$1="December",U364)))))))))))))</f>
        <v>12000</v>
      </c>
      <c r="H357" s="187"/>
      <c r="I357" s="191">
        <f>IF(C361&gt;=C360,$K$2,C359+C361)</f>
        <v>30</v>
      </c>
      <c r="J357" s="192" t="s">
        <v>106</v>
      </c>
      <c r="K357" s="193">
        <f>K353/$K$2*I357</f>
        <v>30000</v>
      </c>
      <c r="L357" s="194"/>
      <c r="M357" s="158"/>
      <c r="N357" s="175"/>
      <c r="O357" s="176" t="s">
        <v>107</v>
      </c>
      <c r="P357" s="176">
        <v>29</v>
      </c>
      <c r="Q357" s="176">
        <v>2</v>
      </c>
      <c r="R357" s="176">
        <f t="shared" si="105"/>
        <v>9</v>
      </c>
      <c r="S357" s="156"/>
      <c r="T357" s="176" t="s">
        <v>107</v>
      </c>
      <c r="U357" s="182">
        <f>IF($J$1="April","",Y356)</f>
        <v>0</v>
      </c>
      <c r="V357" s="178">
        <v>20000</v>
      </c>
      <c r="W357" s="182">
        <f t="shared" si="106"/>
        <v>20000</v>
      </c>
      <c r="X357" s="178">
        <v>2000</v>
      </c>
      <c r="Y357" s="182">
        <f t="shared" si="107"/>
        <v>18000</v>
      </c>
      <c r="Z357" s="183"/>
      <c r="AA357" s="158"/>
      <c r="AB357" s="158"/>
      <c r="AC357" s="158"/>
    </row>
    <row r="358" spans="1:29" ht="18" customHeight="1" x14ac:dyDescent="0.2">
      <c r="A358" s="163"/>
      <c r="B358" s="195"/>
      <c r="C358" s="195"/>
      <c r="D358" s="149"/>
      <c r="E358" s="149"/>
      <c r="F358" s="189" t="s">
        <v>9</v>
      </c>
      <c r="G358" s="190">
        <f>IF($J$1="January",V353,IF($J$1="February",V354,IF($J$1="March",V355,IF($J$1="April",V356,IF($J$1="May",V357,IF($J$1="June",V358,IF($J$1="July",V359,IF($J$1="August",V360,IF($J$1="August",V360,IF($J$1="September",V361,IF($J$1="October",V362,IF($J$1="November",V363,IF($J$1="December",V364)))))))))))))</f>
        <v>0</v>
      </c>
      <c r="H358" s="187"/>
      <c r="I358" s="191">
        <v>11</v>
      </c>
      <c r="J358" s="192" t="s">
        <v>108</v>
      </c>
      <c r="K358" s="190">
        <f>K353/$K$2/8*I358</f>
        <v>1375</v>
      </c>
      <c r="L358" s="196"/>
      <c r="M358" s="158"/>
      <c r="N358" s="175"/>
      <c r="O358" s="176" t="s">
        <v>84</v>
      </c>
      <c r="P358" s="176">
        <v>29</v>
      </c>
      <c r="Q358" s="176">
        <v>1</v>
      </c>
      <c r="R358" s="176">
        <f t="shared" si="105"/>
        <v>8</v>
      </c>
      <c r="S358" s="156"/>
      <c r="T358" s="176" t="s">
        <v>84</v>
      </c>
      <c r="U358" s="182">
        <f>Y357</f>
        <v>18000</v>
      </c>
      <c r="V358" s="178"/>
      <c r="W358" s="182">
        <f t="shared" si="106"/>
        <v>18000</v>
      </c>
      <c r="X358" s="178">
        <v>2000</v>
      </c>
      <c r="Y358" s="182">
        <f t="shared" si="107"/>
        <v>16000</v>
      </c>
      <c r="Z358" s="183"/>
      <c r="AA358" s="158"/>
      <c r="AB358" s="158"/>
      <c r="AC358" s="158"/>
    </row>
    <row r="359" spans="1:29" ht="18" customHeight="1" x14ac:dyDescent="0.2">
      <c r="A359" s="163"/>
      <c r="B359" s="189" t="s">
        <v>92</v>
      </c>
      <c r="C359" s="195">
        <f>IF($J$1="January",P353,IF($J$1="February",P354,IF($J$1="March",P355,IF($J$1="April",P356,IF($J$1="May",P357,IF($J$1="June",P358,IF($J$1="July",P359,IF($J$1="August",P360,IF($J$1="August",P360,IF($J$1="September",P361,IF($J$1="October",P362,IF($J$1="November",P363,IF($J$1="December",P364)))))))))))))</f>
        <v>30</v>
      </c>
      <c r="D359" s="149"/>
      <c r="E359" s="149"/>
      <c r="F359" s="189" t="s">
        <v>109</v>
      </c>
      <c r="G359" s="190">
        <f>IF($J$1="January",W353,IF($J$1="February",W354,IF($J$1="March",W355,IF($J$1="April",W356,IF($J$1="May",W357,IF($J$1="June",W358,IF($J$1="July",W359,IF($J$1="August",W360,IF($J$1="August",W360,IF($J$1="September",W361,IF($J$1="October",W362,IF($J$1="November",W363,IF($J$1="December",W364)))))))))))))</f>
        <v>12000</v>
      </c>
      <c r="H359" s="187"/>
      <c r="I359" s="528" t="s">
        <v>110</v>
      </c>
      <c r="J359" s="503"/>
      <c r="K359" s="190">
        <f>K357+K358</f>
        <v>31375</v>
      </c>
      <c r="L359" s="196"/>
      <c r="M359" s="158"/>
      <c r="N359" s="175"/>
      <c r="O359" s="176" t="s">
        <v>111</v>
      </c>
      <c r="P359" s="176">
        <v>29</v>
      </c>
      <c r="Q359" s="176">
        <v>2</v>
      </c>
      <c r="R359" s="176">
        <f t="shared" si="105"/>
        <v>6</v>
      </c>
      <c r="S359" s="156"/>
      <c r="T359" s="176" t="s">
        <v>111</v>
      </c>
      <c r="U359" s="182">
        <f>Y358</f>
        <v>16000</v>
      </c>
      <c r="V359" s="178"/>
      <c r="W359" s="182">
        <f t="shared" si="106"/>
        <v>16000</v>
      </c>
      <c r="X359" s="178">
        <v>2000</v>
      </c>
      <c r="Y359" s="182">
        <f t="shared" si="107"/>
        <v>14000</v>
      </c>
      <c r="Z359" s="183"/>
      <c r="AA359" s="158"/>
      <c r="AB359" s="158"/>
      <c r="AC359" s="158"/>
    </row>
    <row r="360" spans="1:29" ht="18" customHeight="1" x14ac:dyDescent="0.2">
      <c r="A360" s="163"/>
      <c r="B360" s="189" t="s">
        <v>93</v>
      </c>
      <c r="C360" s="195">
        <f>IF($J$1="January",Q353,IF($J$1="February",Q354,IF($J$1="March",Q355,IF($J$1="April",Q356,IF($J$1="May",Q357,IF($J$1="June",Q358,IF($J$1="July",Q359,IF($J$1="August",Q360,IF($J$1="August",Q360,IF($J$1="September",Q361,IF($J$1="October",Q362,IF($J$1="November",Q363,IF($J$1="December",Q364)))))))))))))</f>
        <v>0</v>
      </c>
      <c r="D360" s="149"/>
      <c r="E360" s="149"/>
      <c r="F360" s="189" t="s">
        <v>11</v>
      </c>
      <c r="G360" s="190">
        <f>IF($J$1="January",X353,IF($J$1="February",X354,IF($J$1="March",X355,IF($J$1="April",X356,IF($J$1="May",X357,IF($J$1="June",X358,IF($J$1="July",X359,IF($J$1="August",X360,IF($J$1="August",X360,IF($J$1="September",X361,IF($J$1="October",X362,IF($J$1="November",X363,IF($J$1="December",X364)))))))))))))</f>
        <v>0</v>
      </c>
      <c r="H360" s="187"/>
      <c r="I360" s="528" t="s">
        <v>112</v>
      </c>
      <c r="J360" s="503"/>
      <c r="K360" s="190">
        <f>G360</f>
        <v>0</v>
      </c>
      <c r="L360" s="196"/>
      <c r="M360" s="158"/>
      <c r="N360" s="175"/>
      <c r="O360" s="176" t="s">
        <v>113</v>
      </c>
      <c r="P360" s="176">
        <v>30</v>
      </c>
      <c r="Q360" s="176">
        <v>1</v>
      </c>
      <c r="R360" s="176">
        <f t="shared" si="105"/>
        <v>5</v>
      </c>
      <c r="S360" s="156"/>
      <c r="T360" s="176" t="s">
        <v>113</v>
      </c>
      <c r="U360" s="182">
        <f>Y359</f>
        <v>14000</v>
      </c>
      <c r="V360" s="178"/>
      <c r="W360" s="182">
        <f t="shared" si="106"/>
        <v>14000</v>
      </c>
      <c r="X360" s="178">
        <v>2000</v>
      </c>
      <c r="Y360" s="182">
        <f t="shared" si="107"/>
        <v>12000</v>
      </c>
      <c r="Z360" s="183"/>
      <c r="AA360" s="158"/>
      <c r="AB360" s="158"/>
      <c r="AC360" s="158"/>
    </row>
    <row r="361" spans="1:29" ht="18" customHeight="1" x14ac:dyDescent="0.2">
      <c r="A361" s="163"/>
      <c r="B361" s="204" t="s">
        <v>114</v>
      </c>
      <c r="C361" s="195">
        <f>IF($J$1="January",R353,IF($J$1="February",R354,IF($J$1="March",R355,IF($J$1="April",R356,IF($J$1="May",R357,IF($J$1="June",R358,IF($J$1="July",R359,IF($J$1="August",R360,IF($J$1="August",R360,IF($J$1="September",R361,IF($J$1="October",R362,IF($J$1="November",R363,IF($J$1="December",R364)))))))))))))</f>
        <v>5</v>
      </c>
      <c r="D361" s="149"/>
      <c r="E361" s="149"/>
      <c r="F361" s="204" t="s">
        <v>115</v>
      </c>
      <c r="G361" s="190">
        <f>IF($J$1="January",Y353,IF($J$1="February",Y354,IF($J$1="March",Y355,IF($J$1="April",Y356,IF($J$1="May",Y357,IF($J$1="June",Y358,IF($J$1="July",Y359,IF($J$1="August",Y360,IF($J$1="August",Y360,IF($J$1="September",Y361,IF($J$1="October",Y362,IF($J$1="November",Y363,IF($J$1="December",Y364)))))))))))))</f>
        <v>12000</v>
      </c>
      <c r="H361" s="149"/>
      <c r="I361" s="529" t="s">
        <v>13</v>
      </c>
      <c r="J361" s="503"/>
      <c r="K361" s="37">
        <f>K359-K360</f>
        <v>31375</v>
      </c>
      <c r="L361" s="180"/>
      <c r="M361" s="158"/>
      <c r="N361" s="175"/>
      <c r="O361" s="176" t="s">
        <v>116</v>
      </c>
      <c r="P361" s="176">
        <v>30</v>
      </c>
      <c r="Q361" s="176">
        <v>0</v>
      </c>
      <c r="R361" s="176">
        <f t="shared" si="105"/>
        <v>5</v>
      </c>
      <c r="S361" s="156"/>
      <c r="T361" s="176" t="s">
        <v>116</v>
      </c>
      <c r="U361" s="182">
        <f>IF($J$1="September",Y360,"")</f>
        <v>12000</v>
      </c>
      <c r="V361" s="178"/>
      <c r="W361" s="182">
        <f t="shared" si="106"/>
        <v>12000</v>
      </c>
      <c r="X361" s="178"/>
      <c r="Y361" s="182">
        <f t="shared" si="107"/>
        <v>12000</v>
      </c>
      <c r="Z361" s="183"/>
      <c r="AA361" s="158"/>
      <c r="AB361" s="158"/>
      <c r="AC361" s="158"/>
    </row>
    <row r="362" spans="1:29" ht="18" customHeight="1" x14ac:dyDescent="0.2">
      <c r="A362" s="163"/>
      <c r="B362" s="149"/>
      <c r="C362" s="149"/>
      <c r="D362" s="149"/>
      <c r="E362" s="149"/>
      <c r="F362" s="149"/>
      <c r="G362" s="149"/>
      <c r="H362" s="149"/>
      <c r="I362" s="530"/>
      <c r="J362" s="531"/>
      <c r="K362" s="151"/>
      <c r="L362" s="186"/>
      <c r="M362" s="158"/>
      <c r="N362" s="175"/>
      <c r="O362" s="176" t="s">
        <v>117</v>
      </c>
      <c r="P362" s="176"/>
      <c r="Q362" s="176"/>
      <c r="R362" s="176" t="str">
        <f t="shared" si="105"/>
        <v/>
      </c>
      <c r="S362" s="156"/>
      <c r="T362" s="176" t="s">
        <v>117</v>
      </c>
      <c r="U362" s="182">
        <f t="shared" ref="U362" si="108">Y361</f>
        <v>12000</v>
      </c>
      <c r="V362" s="178"/>
      <c r="W362" s="182">
        <f t="shared" si="106"/>
        <v>12000</v>
      </c>
      <c r="X362" s="178"/>
      <c r="Y362" s="182">
        <f t="shared" si="107"/>
        <v>12000</v>
      </c>
      <c r="Z362" s="183"/>
      <c r="AA362" s="158"/>
      <c r="AB362" s="158"/>
      <c r="AC362" s="158"/>
    </row>
    <row r="363" spans="1:29" ht="18" customHeight="1" x14ac:dyDescent="0.3">
      <c r="A363" s="163"/>
      <c r="B363" s="147"/>
      <c r="C363" s="147"/>
      <c r="D363" s="147"/>
      <c r="E363" s="147"/>
      <c r="F363" s="147"/>
      <c r="G363" s="147"/>
      <c r="H363" s="147"/>
      <c r="I363" s="530"/>
      <c r="J363" s="531"/>
      <c r="K363" s="151"/>
      <c r="L363" s="186"/>
      <c r="M363" s="158"/>
      <c r="N363" s="175"/>
      <c r="O363" s="176" t="s">
        <v>118</v>
      </c>
      <c r="P363" s="176"/>
      <c r="Q363" s="176"/>
      <c r="R363" s="176" t="str">
        <f t="shared" si="105"/>
        <v/>
      </c>
      <c r="S363" s="156"/>
      <c r="T363" s="176" t="s">
        <v>118</v>
      </c>
      <c r="U363" s="182"/>
      <c r="V363" s="178"/>
      <c r="W363" s="182" t="str">
        <f t="shared" si="106"/>
        <v/>
      </c>
      <c r="X363" s="178"/>
      <c r="Y363" s="182" t="str">
        <f t="shared" si="107"/>
        <v/>
      </c>
      <c r="Z363" s="183"/>
      <c r="AA363" s="158"/>
      <c r="AB363" s="158"/>
      <c r="AC363" s="158"/>
    </row>
    <row r="364" spans="1:29" ht="18" customHeight="1" thickBot="1" x14ac:dyDescent="0.35">
      <c r="A364" s="197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9"/>
      <c r="M364" s="158"/>
      <c r="N364" s="175"/>
      <c r="O364" s="176" t="s">
        <v>119</v>
      </c>
      <c r="P364" s="176"/>
      <c r="Q364" s="176"/>
      <c r="R364" s="176">
        <v>0</v>
      </c>
      <c r="S364" s="156"/>
      <c r="T364" s="176" t="s">
        <v>119</v>
      </c>
      <c r="U364" s="182">
        <v>0</v>
      </c>
      <c r="V364" s="178"/>
      <c r="W364" s="182">
        <f t="shared" si="106"/>
        <v>0</v>
      </c>
      <c r="X364" s="178"/>
      <c r="Y364" s="182">
        <f t="shared" si="107"/>
        <v>0</v>
      </c>
      <c r="Z364" s="183"/>
      <c r="AA364" s="158"/>
      <c r="AB364" s="158"/>
      <c r="AC364" s="158"/>
    </row>
    <row r="365" spans="1:29" ht="18" customHeight="1" thickBot="1" x14ac:dyDescent="0.25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1"/>
      <c r="N365" s="202"/>
      <c r="O365" s="202"/>
      <c r="P365" s="202"/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  <c r="AA365" s="201"/>
      <c r="AB365" s="201"/>
      <c r="AC365" s="201"/>
    </row>
    <row r="366" spans="1:29" ht="18" customHeight="1" thickBot="1" x14ac:dyDescent="0.25">
      <c r="A366" s="532" t="s">
        <v>87</v>
      </c>
      <c r="B366" s="533"/>
      <c r="C366" s="533"/>
      <c r="D366" s="533"/>
      <c r="E366" s="533"/>
      <c r="F366" s="533"/>
      <c r="G366" s="533"/>
      <c r="H366" s="533"/>
      <c r="I366" s="533"/>
      <c r="J366" s="533"/>
      <c r="K366" s="533"/>
      <c r="L366" s="534"/>
      <c r="M366" s="159"/>
      <c r="N366" s="160"/>
      <c r="O366" s="524" t="s">
        <v>88</v>
      </c>
      <c r="P366" s="525"/>
      <c r="Q366" s="525"/>
      <c r="R366" s="526"/>
      <c r="S366" s="161"/>
      <c r="T366" s="524" t="s">
        <v>89</v>
      </c>
      <c r="U366" s="525"/>
      <c r="V366" s="525"/>
      <c r="W366" s="525"/>
      <c r="X366" s="525"/>
      <c r="Y366" s="526"/>
      <c r="Z366" s="162"/>
      <c r="AA366" s="159"/>
      <c r="AB366" s="158"/>
      <c r="AC366" s="158"/>
    </row>
    <row r="367" spans="1:29" ht="18" customHeight="1" x14ac:dyDescent="0.2">
      <c r="A367" s="163"/>
      <c r="B367" s="149"/>
      <c r="C367" s="535" t="s">
        <v>163</v>
      </c>
      <c r="D367" s="531"/>
      <c r="E367" s="531"/>
      <c r="F367" s="531"/>
      <c r="G367" s="164" t="str">
        <f>$J$1</f>
        <v>September</v>
      </c>
      <c r="H367" s="536">
        <f>$K$1</f>
        <v>2024</v>
      </c>
      <c r="I367" s="531"/>
      <c r="J367" s="149"/>
      <c r="K367" s="165"/>
      <c r="L367" s="166"/>
      <c r="M367" s="167"/>
      <c r="N367" s="168"/>
      <c r="O367" s="169" t="s">
        <v>91</v>
      </c>
      <c r="P367" s="169" t="s">
        <v>92</v>
      </c>
      <c r="Q367" s="169" t="s">
        <v>93</v>
      </c>
      <c r="R367" s="169" t="s">
        <v>94</v>
      </c>
      <c r="S367" s="170"/>
      <c r="T367" s="169" t="s">
        <v>91</v>
      </c>
      <c r="U367" s="169" t="s">
        <v>95</v>
      </c>
      <c r="V367" s="169" t="s">
        <v>9</v>
      </c>
      <c r="W367" s="169" t="s">
        <v>10</v>
      </c>
      <c r="X367" s="169" t="s">
        <v>11</v>
      </c>
      <c r="Y367" s="169" t="s">
        <v>96</v>
      </c>
      <c r="Z367" s="171"/>
      <c r="AA367" s="167"/>
      <c r="AB367" s="158"/>
      <c r="AC367" s="158"/>
    </row>
    <row r="368" spans="1:29" ht="18" customHeight="1" x14ac:dyDescent="0.2">
      <c r="A368" s="163"/>
      <c r="B368" s="149"/>
      <c r="C368" s="149"/>
      <c r="D368" s="172"/>
      <c r="E368" s="172"/>
      <c r="F368" s="172"/>
      <c r="G368" s="172"/>
      <c r="H368" s="172"/>
      <c r="I368" s="149"/>
      <c r="J368" s="173" t="s">
        <v>97</v>
      </c>
      <c r="K368" s="151">
        <f>20000+5000+2000</f>
        <v>27000</v>
      </c>
      <c r="L368" s="174"/>
      <c r="M368" s="158"/>
      <c r="N368" s="175"/>
      <c r="O368" s="176" t="s">
        <v>98</v>
      </c>
      <c r="P368" s="176">
        <v>30</v>
      </c>
      <c r="Q368" s="176">
        <v>1</v>
      </c>
      <c r="R368" s="176">
        <f>15-Q368</f>
        <v>14</v>
      </c>
      <c r="S368" s="177"/>
      <c r="T368" s="176" t="s">
        <v>98</v>
      </c>
      <c r="U368" s="178">
        <v>20000</v>
      </c>
      <c r="V368" s="178"/>
      <c r="W368" s="178">
        <f>V368+U368</f>
        <v>20000</v>
      </c>
      <c r="X368" s="178">
        <v>2000</v>
      </c>
      <c r="Y368" s="178">
        <f t="shared" ref="Y368:Y369" si="109">W368-X368</f>
        <v>18000</v>
      </c>
      <c r="Z368" s="171"/>
      <c r="AA368" s="158"/>
      <c r="AB368" s="158"/>
      <c r="AC368" s="158"/>
    </row>
    <row r="369" spans="1:29" ht="18" customHeight="1" x14ac:dyDescent="0.2">
      <c r="A369" s="163"/>
      <c r="B369" s="149" t="s">
        <v>99</v>
      </c>
      <c r="C369" s="148" t="s">
        <v>164</v>
      </c>
      <c r="D369" s="149"/>
      <c r="E369" s="149"/>
      <c r="F369" s="149"/>
      <c r="G369" s="149"/>
      <c r="H369" s="179"/>
      <c r="I369" s="172"/>
      <c r="J369" s="149"/>
      <c r="K369" s="149"/>
      <c r="L369" s="180"/>
      <c r="M369" s="159"/>
      <c r="N369" s="181"/>
      <c r="O369" s="176" t="s">
        <v>100</v>
      </c>
      <c r="P369" s="176">
        <v>28</v>
      </c>
      <c r="Q369" s="176">
        <v>1</v>
      </c>
      <c r="R369" s="176">
        <f t="shared" ref="R369:R379" si="110">IF(Q369="","",R368-Q369)</f>
        <v>13</v>
      </c>
      <c r="S369" s="156"/>
      <c r="T369" s="176" t="s">
        <v>100</v>
      </c>
      <c r="U369" s="182">
        <f t="shared" ref="U369:U370" si="111">Y368</f>
        <v>18000</v>
      </c>
      <c r="V369" s="178"/>
      <c r="W369" s="182">
        <f t="shared" ref="W369:W379" si="112">IF(U369="","",U369+V369)</f>
        <v>18000</v>
      </c>
      <c r="X369" s="178">
        <v>2000</v>
      </c>
      <c r="Y369" s="178">
        <f t="shared" si="109"/>
        <v>16000</v>
      </c>
      <c r="Z369" s="183"/>
      <c r="AA369" s="159"/>
      <c r="AB369" s="158"/>
      <c r="AC369" s="158"/>
    </row>
    <row r="370" spans="1:29" ht="18" customHeight="1" x14ac:dyDescent="0.2">
      <c r="A370" s="163"/>
      <c r="B370" s="184" t="s">
        <v>101</v>
      </c>
      <c r="C370" s="185"/>
      <c r="D370" s="149"/>
      <c r="E370" s="149"/>
      <c r="F370" s="529" t="s">
        <v>89</v>
      </c>
      <c r="G370" s="503"/>
      <c r="H370" s="149"/>
      <c r="I370" s="529" t="s">
        <v>102</v>
      </c>
      <c r="J370" s="502"/>
      <c r="K370" s="503"/>
      <c r="L370" s="186"/>
      <c r="M370" s="158"/>
      <c r="N370" s="175"/>
      <c r="O370" s="176" t="s">
        <v>103</v>
      </c>
      <c r="P370" s="176">
        <v>30</v>
      </c>
      <c r="Q370" s="176">
        <v>1</v>
      </c>
      <c r="R370" s="176">
        <f t="shared" si="110"/>
        <v>12</v>
      </c>
      <c r="S370" s="156"/>
      <c r="T370" s="176" t="s">
        <v>103</v>
      </c>
      <c r="U370" s="182">
        <f t="shared" si="111"/>
        <v>16000</v>
      </c>
      <c r="V370" s="178"/>
      <c r="W370" s="182">
        <f t="shared" si="112"/>
        <v>16000</v>
      </c>
      <c r="X370" s="178">
        <v>2000</v>
      </c>
      <c r="Y370" s="182">
        <f t="shared" ref="Y370:Y379" si="113">IF(W370="","",W370-X370)</f>
        <v>14000</v>
      </c>
      <c r="Z370" s="183"/>
      <c r="AA370" s="158"/>
      <c r="AB370" s="158"/>
      <c r="AC370" s="158"/>
    </row>
    <row r="371" spans="1:29" ht="18" customHeight="1" x14ac:dyDescent="0.2">
      <c r="A371" s="163"/>
      <c r="B371" s="149"/>
      <c r="C371" s="149"/>
      <c r="D371" s="149"/>
      <c r="E371" s="149"/>
      <c r="F371" s="149"/>
      <c r="G371" s="149"/>
      <c r="H371" s="187"/>
      <c r="I371" s="149"/>
      <c r="J371" s="149"/>
      <c r="K371" s="149"/>
      <c r="L371" s="188"/>
      <c r="M371" s="158"/>
      <c r="N371" s="175"/>
      <c r="O371" s="176" t="s">
        <v>104</v>
      </c>
      <c r="P371" s="176">
        <v>29</v>
      </c>
      <c r="Q371" s="176">
        <v>1</v>
      </c>
      <c r="R371" s="176">
        <f t="shared" si="110"/>
        <v>11</v>
      </c>
      <c r="S371" s="156"/>
      <c r="T371" s="176" t="s">
        <v>104</v>
      </c>
      <c r="U371" s="182">
        <f>IF($J$1="March","",Y370)</f>
        <v>14000</v>
      </c>
      <c r="V371" s="178"/>
      <c r="W371" s="182">
        <f t="shared" si="112"/>
        <v>14000</v>
      </c>
      <c r="X371" s="178">
        <v>2000</v>
      </c>
      <c r="Y371" s="182">
        <f t="shared" si="113"/>
        <v>12000</v>
      </c>
      <c r="Z371" s="183"/>
      <c r="AA371" s="158"/>
      <c r="AB371" s="158"/>
      <c r="AC371" s="158"/>
    </row>
    <row r="372" spans="1:29" ht="18" customHeight="1" x14ac:dyDescent="0.2">
      <c r="A372" s="163"/>
      <c r="B372" s="527" t="s">
        <v>88</v>
      </c>
      <c r="C372" s="503"/>
      <c r="D372" s="149"/>
      <c r="E372" s="149"/>
      <c r="F372" s="189" t="s">
        <v>105</v>
      </c>
      <c r="G372" s="190">
        <f>IF($J$1="January",U368,IF($J$1="February",U369,IF($J$1="March",U370,IF($J$1="April",U371,IF($J$1="May",U372,IF($J$1="June",U373,IF($J$1="July",U374,IF($J$1="August",U375,IF($J$1="August",U375,IF($J$1="September",U376,IF($J$1="October",U377,IF($J$1="November",U378,IF($J$1="December",U379)))))))))))))</f>
        <v>19000</v>
      </c>
      <c r="H372" s="187"/>
      <c r="I372" s="191">
        <f>IF(C376&gt;=C375,$K$2,C374+C376)</f>
        <v>30</v>
      </c>
      <c r="J372" s="192" t="s">
        <v>106</v>
      </c>
      <c r="K372" s="193">
        <f>K368/$K$2*I372</f>
        <v>27000</v>
      </c>
      <c r="L372" s="194"/>
      <c r="M372" s="158"/>
      <c r="N372" s="175"/>
      <c r="O372" s="176" t="s">
        <v>107</v>
      </c>
      <c r="P372" s="176">
        <v>29</v>
      </c>
      <c r="Q372" s="176">
        <v>2</v>
      </c>
      <c r="R372" s="176">
        <f t="shared" si="110"/>
        <v>9</v>
      </c>
      <c r="S372" s="156"/>
      <c r="T372" s="176" t="s">
        <v>107</v>
      </c>
      <c r="U372" s="182">
        <f t="shared" ref="U372:U373" si="114">Y371</f>
        <v>12000</v>
      </c>
      <c r="V372" s="178"/>
      <c r="W372" s="182">
        <f t="shared" si="112"/>
        <v>12000</v>
      </c>
      <c r="X372" s="178">
        <v>2000</v>
      </c>
      <c r="Y372" s="182">
        <f t="shared" si="113"/>
        <v>10000</v>
      </c>
      <c r="Z372" s="183"/>
      <c r="AA372" s="158"/>
      <c r="AB372" s="158"/>
      <c r="AC372" s="158"/>
    </row>
    <row r="373" spans="1:29" ht="18" customHeight="1" x14ac:dyDescent="0.2">
      <c r="A373" s="163"/>
      <c r="B373" s="195"/>
      <c r="C373" s="195"/>
      <c r="D373" s="149"/>
      <c r="E373" s="149"/>
      <c r="F373" s="189" t="s">
        <v>9</v>
      </c>
      <c r="G373" s="190">
        <f>IF($J$1="January",V368,IF($J$1="February",V369,IF($J$1="March",V370,IF($J$1="April",V371,IF($J$1="May",V372,IF($J$1="June",V373,IF($J$1="July",V374,IF($J$1="August",V375,IF($J$1="August",V375,IF($J$1="September",V376,IF($J$1="October",V377,IF($J$1="November",V378,IF($J$1="December",V379)))))))))))))</f>
        <v>0</v>
      </c>
      <c r="H373" s="187"/>
      <c r="I373" s="191">
        <v>2</v>
      </c>
      <c r="J373" s="192" t="s">
        <v>108</v>
      </c>
      <c r="K373" s="190">
        <f>K368/$K$2/8*I373</f>
        <v>225</v>
      </c>
      <c r="L373" s="196"/>
      <c r="M373" s="158"/>
      <c r="N373" s="175"/>
      <c r="O373" s="176" t="s">
        <v>84</v>
      </c>
      <c r="P373" s="176">
        <v>29</v>
      </c>
      <c r="Q373" s="176">
        <v>1</v>
      </c>
      <c r="R373" s="176">
        <f t="shared" si="110"/>
        <v>8</v>
      </c>
      <c r="S373" s="156"/>
      <c r="T373" s="176" t="s">
        <v>84</v>
      </c>
      <c r="U373" s="182">
        <f t="shared" si="114"/>
        <v>10000</v>
      </c>
      <c r="V373" s="178"/>
      <c r="W373" s="182">
        <f t="shared" si="112"/>
        <v>10000</v>
      </c>
      <c r="X373" s="178">
        <v>2000</v>
      </c>
      <c r="Y373" s="182">
        <f t="shared" si="113"/>
        <v>8000</v>
      </c>
      <c r="Z373" s="183"/>
      <c r="AA373" s="158"/>
      <c r="AB373" s="158"/>
      <c r="AC373" s="158"/>
    </row>
    <row r="374" spans="1:29" ht="18" customHeight="1" x14ac:dyDescent="0.2">
      <c r="A374" s="163"/>
      <c r="B374" s="189" t="s">
        <v>92</v>
      </c>
      <c r="C374" s="195">
        <f>IF($J$1="January",P368,IF($J$1="February",P369,IF($J$1="March",P370,IF($J$1="April",P371,IF($J$1="May",P372,IF($J$1="June",P373,IF($J$1="July",P374,IF($J$1="August",P375,IF($J$1="August",P375,IF($J$1="September",P376,IF($J$1="October",P377,IF($J$1="November",P378,IF($J$1="December",P379)))))))))))))</f>
        <v>28</v>
      </c>
      <c r="D374" s="149"/>
      <c r="E374" s="149"/>
      <c r="F374" s="189" t="s">
        <v>109</v>
      </c>
      <c r="G374" s="190">
        <f>IF($J$1="January",W368,IF($J$1="February",W369,IF($J$1="March",W370,IF($J$1="April",W371,IF($J$1="May",W372,IF($J$1="June",W373,IF($J$1="July",W374,IF($J$1="August",W375,IF($J$1="August",W375,IF($J$1="September",W376,IF($J$1="October",W377,IF($J$1="November",W378,IF($J$1="December",W379)))))))))))))</f>
        <v>19000</v>
      </c>
      <c r="H374" s="187"/>
      <c r="I374" s="528" t="s">
        <v>110</v>
      </c>
      <c r="J374" s="503"/>
      <c r="K374" s="190">
        <f>K372+K373</f>
        <v>27225</v>
      </c>
      <c r="L374" s="196"/>
      <c r="M374" s="158"/>
      <c r="N374" s="175"/>
      <c r="O374" s="176" t="s">
        <v>111</v>
      </c>
      <c r="P374" s="176">
        <v>30</v>
      </c>
      <c r="Q374" s="176">
        <v>1</v>
      </c>
      <c r="R374" s="176">
        <f t="shared" si="110"/>
        <v>7</v>
      </c>
      <c r="S374" s="156"/>
      <c r="T374" s="176" t="s">
        <v>111</v>
      </c>
      <c r="U374" s="182">
        <f>Y373</f>
        <v>8000</v>
      </c>
      <c r="V374" s="178">
        <v>15000</v>
      </c>
      <c r="W374" s="182">
        <f t="shared" si="112"/>
        <v>23000</v>
      </c>
      <c r="X374" s="178">
        <v>2000</v>
      </c>
      <c r="Y374" s="182">
        <f t="shared" si="113"/>
        <v>21000</v>
      </c>
      <c r="Z374" s="183"/>
      <c r="AA374" s="158"/>
      <c r="AB374" s="158"/>
      <c r="AC374" s="158"/>
    </row>
    <row r="375" spans="1:29" ht="18" customHeight="1" x14ac:dyDescent="0.2">
      <c r="A375" s="163"/>
      <c r="B375" s="189" t="s">
        <v>93</v>
      </c>
      <c r="C375" s="195">
        <f>IF($J$1="January",Q368,IF($J$1="February",Q369,IF($J$1="March",Q370,IF($J$1="April",Q371,IF($J$1="May",Q372,IF($J$1="June",Q373,IF($J$1="July",Q374,IF($J$1="August",Q375,IF($J$1="August",Q375,IF($J$1="September",Q376,IF($J$1="October",Q377,IF($J$1="November",Q378,IF($J$1="December",Q379)))))))))))))</f>
        <v>2</v>
      </c>
      <c r="D375" s="149"/>
      <c r="E375" s="149"/>
      <c r="F375" s="189" t="s">
        <v>11</v>
      </c>
      <c r="G375" s="190">
        <f>IF($J$1="January",X368,IF($J$1="February",X369,IF($J$1="March",X370,IF($J$1="April",X371,IF($J$1="May",X372,IF($J$1="June",X373,IF($J$1="July",X374,IF($J$1="August",X375,IF($J$1="August",X375,IF($J$1="September",X376,IF($J$1="October",X377,IF($J$1="November",X378,IF($J$1="December",X379)))))))))))))</f>
        <v>2000</v>
      </c>
      <c r="H375" s="187"/>
      <c r="I375" s="528" t="s">
        <v>112</v>
      </c>
      <c r="J375" s="503"/>
      <c r="K375" s="190">
        <f>G375</f>
        <v>2000</v>
      </c>
      <c r="L375" s="196"/>
      <c r="M375" s="158"/>
      <c r="N375" s="175"/>
      <c r="O375" s="176" t="s">
        <v>113</v>
      </c>
      <c r="P375" s="176">
        <v>30</v>
      </c>
      <c r="Q375" s="176">
        <v>1</v>
      </c>
      <c r="R375" s="176">
        <f t="shared" si="110"/>
        <v>6</v>
      </c>
      <c r="S375" s="156"/>
      <c r="T375" s="176" t="s">
        <v>113</v>
      </c>
      <c r="U375" s="182">
        <f>Y374</f>
        <v>21000</v>
      </c>
      <c r="V375" s="178"/>
      <c r="W375" s="182">
        <f t="shared" si="112"/>
        <v>21000</v>
      </c>
      <c r="X375" s="178">
        <v>2000</v>
      </c>
      <c r="Y375" s="182">
        <f t="shared" si="113"/>
        <v>19000</v>
      </c>
      <c r="Z375" s="183"/>
      <c r="AA375" s="158"/>
      <c r="AB375" s="158"/>
      <c r="AC375" s="158"/>
    </row>
    <row r="376" spans="1:29" ht="18" customHeight="1" x14ac:dyDescent="0.2">
      <c r="A376" s="163"/>
      <c r="B376" s="204" t="s">
        <v>114</v>
      </c>
      <c r="C376" s="195">
        <f>IF($J$1="January",R368,IF($J$1="February",R369,IF($J$1="March",R370,IF($J$1="April",R371,IF($J$1="May",R372,IF($J$1="June",R373,IF($J$1="July",R374,IF($J$1="August",R375,IF($J$1="August",R375,IF($J$1="September",R376,IF($J$1="October",R377,IF($J$1="November",R378,IF($J$1="December",R379)))))))))))))</f>
        <v>4</v>
      </c>
      <c r="D376" s="149"/>
      <c r="E376" s="149"/>
      <c r="F376" s="204" t="s">
        <v>115</v>
      </c>
      <c r="G376" s="190">
        <f>IF($J$1="January",Y368,IF($J$1="February",Y369,IF($J$1="March",Y370,IF($J$1="April",Y371,IF($J$1="May",Y372,IF($J$1="June",Y373,IF($J$1="July",Y374,IF($J$1="August",Y375,IF($J$1="August",Y375,IF($J$1="September",Y376,IF($J$1="October",Y377,IF($J$1="November",Y378,IF($J$1="December",Y379)))))))))))))</f>
        <v>17000</v>
      </c>
      <c r="H376" s="149"/>
      <c r="I376" s="529" t="s">
        <v>13</v>
      </c>
      <c r="J376" s="503"/>
      <c r="K376" s="37">
        <f>K374-K375</f>
        <v>25225</v>
      </c>
      <c r="L376" s="180"/>
      <c r="M376" s="158"/>
      <c r="N376" s="175"/>
      <c r="O376" s="176" t="s">
        <v>116</v>
      </c>
      <c r="P376" s="176">
        <v>28</v>
      </c>
      <c r="Q376" s="176">
        <v>2</v>
      </c>
      <c r="R376" s="176">
        <f t="shared" si="110"/>
        <v>4</v>
      </c>
      <c r="S376" s="156"/>
      <c r="T376" s="176" t="s">
        <v>116</v>
      </c>
      <c r="U376" s="182">
        <f>Y375</f>
        <v>19000</v>
      </c>
      <c r="V376" s="178"/>
      <c r="W376" s="182">
        <f t="shared" si="112"/>
        <v>19000</v>
      </c>
      <c r="X376" s="178">
        <v>2000</v>
      </c>
      <c r="Y376" s="182">
        <f t="shared" si="113"/>
        <v>17000</v>
      </c>
      <c r="Z376" s="183"/>
      <c r="AA376" s="158"/>
      <c r="AB376" s="158"/>
      <c r="AC376" s="158"/>
    </row>
    <row r="377" spans="1:29" ht="18" customHeight="1" x14ac:dyDescent="0.2">
      <c r="A377" s="163"/>
      <c r="B377" s="149"/>
      <c r="C377" s="149"/>
      <c r="D377" s="149"/>
      <c r="E377" s="149"/>
      <c r="F377" s="149"/>
      <c r="G377" s="149"/>
      <c r="H377" s="149"/>
      <c r="I377" s="530"/>
      <c r="J377" s="531"/>
      <c r="K377" s="151"/>
      <c r="L377" s="186"/>
      <c r="M377" s="158"/>
      <c r="N377" s="175"/>
      <c r="O377" s="176" t="s">
        <v>117</v>
      </c>
      <c r="P377" s="176"/>
      <c r="Q377" s="176"/>
      <c r="R377" s="176" t="str">
        <f t="shared" si="110"/>
        <v/>
      </c>
      <c r="S377" s="156"/>
      <c r="T377" s="176" t="s">
        <v>117</v>
      </c>
      <c r="U377" s="182"/>
      <c r="V377" s="178"/>
      <c r="W377" s="182" t="str">
        <f t="shared" si="112"/>
        <v/>
      </c>
      <c r="X377" s="178"/>
      <c r="Y377" s="182" t="str">
        <f t="shared" si="113"/>
        <v/>
      </c>
      <c r="Z377" s="183"/>
      <c r="AA377" s="158"/>
      <c r="AB377" s="158"/>
      <c r="AC377" s="158"/>
    </row>
    <row r="378" spans="1:29" ht="18" customHeight="1" x14ac:dyDescent="0.3">
      <c r="A378" s="163"/>
      <c r="B378" s="147"/>
      <c r="C378" s="147"/>
      <c r="D378" s="147"/>
      <c r="E378" s="147"/>
      <c r="F378" s="147"/>
      <c r="G378" s="147"/>
      <c r="H378" s="147"/>
      <c r="I378" s="530"/>
      <c r="J378" s="531"/>
      <c r="K378" s="151"/>
      <c r="L378" s="186"/>
      <c r="M378" s="158"/>
      <c r="N378" s="175"/>
      <c r="O378" s="176" t="s">
        <v>118</v>
      </c>
      <c r="P378" s="176"/>
      <c r="Q378" s="176"/>
      <c r="R378" s="176" t="str">
        <f t="shared" si="110"/>
        <v/>
      </c>
      <c r="S378" s="156"/>
      <c r="T378" s="176" t="s">
        <v>118</v>
      </c>
      <c r="U378" s="182"/>
      <c r="V378" s="178"/>
      <c r="W378" s="182" t="str">
        <f t="shared" si="112"/>
        <v/>
      </c>
      <c r="X378" s="178"/>
      <c r="Y378" s="182" t="str">
        <f t="shared" si="113"/>
        <v/>
      </c>
      <c r="Z378" s="183"/>
      <c r="AA378" s="158"/>
      <c r="AB378" s="158"/>
      <c r="AC378" s="158"/>
    </row>
    <row r="379" spans="1:29" ht="18" customHeight="1" thickBot="1" x14ac:dyDescent="0.35">
      <c r="A379" s="197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9"/>
      <c r="M379" s="158"/>
      <c r="N379" s="175"/>
      <c r="O379" s="176" t="s">
        <v>119</v>
      </c>
      <c r="P379" s="176"/>
      <c r="Q379" s="176"/>
      <c r="R379" s="176" t="str">
        <f t="shared" si="110"/>
        <v/>
      </c>
      <c r="S379" s="156"/>
      <c r="T379" s="176" t="s">
        <v>119</v>
      </c>
      <c r="U379" s="182"/>
      <c r="V379" s="178"/>
      <c r="W379" s="182" t="str">
        <f t="shared" si="112"/>
        <v/>
      </c>
      <c r="X379" s="178"/>
      <c r="Y379" s="182" t="str">
        <f t="shared" si="113"/>
        <v/>
      </c>
      <c r="Z379" s="183"/>
      <c r="AA379" s="158"/>
      <c r="AB379" s="158"/>
      <c r="AC379" s="158"/>
    </row>
    <row r="380" spans="1:29" ht="18" customHeight="1" thickBot="1" x14ac:dyDescent="0.25">
      <c r="A380" s="200"/>
      <c r="B380" s="200"/>
      <c r="C380" s="200"/>
      <c r="D380" s="200"/>
      <c r="E380" s="200"/>
      <c r="F380" s="200"/>
      <c r="G380" s="200"/>
      <c r="H380" s="200"/>
      <c r="I380" s="200"/>
      <c r="J380" s="200"/>
      <c r="K380" s="200"/>
      <c r="L380" s="200"/>
      <c r="M380" s="201"/>
      <c r="N380" s="202"/>
      <c r="O380" s="202"/>
      <c r="P380" s="202"/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  <c r="AA380" s="201"/>
      <c r="AB380" s="201"/>
      <c r="AC380" s="201"/>
    </row>
    <row r="381" spans="1:29" ht="18" customHeight="1" x14ac:dyDescent="0.2">
      <c r="A381" s="577" t="s">
        <v>87</v>
      </c>
      <c r="B381" s="538"/>
      <c r="C381" s="538"/>
      <c r="D381" s="538"/>
      <c r="E381" s="538"/>
      <c r="F381" s="538"/>
      <c r="G381" s="538"/>
      <c r="H381" s="538"/>
      <c r="I381" s="538"/>
      <c r="J381" s="538"/>
      <c r="K381" s="538"/>
      <c r="L381" s="539"/>
      <c r="M381" s="159"/>
      <c r="N381" s="160"/>
      <c r="O381" s="524" t="s">
        <v>88</v>
      </c>
      <c r="P381" s="525"/>
      <c r="Q381" s="525"/>
      <c r="R381" s="526"/>
      <c r="S381" s="161"/>
      <c r="T381" s="524" t="s">
        <v>89</v>
      </c>
      <c r="U381" s="525"/>
      <c r="V381" s="525"/>
      <c r="W381" s="525"/>
      <c r="X381" s="525"/>
      <c r="Y381" s="526"/>
      <c r="Z381" s="156"/>
      <c r="AA381" s="158"/>
      <c r="AB381" s="158"/>
      <c r="AC381" s="158"/>
    </row>
    <row r="382" spans="1:29" ht="18" customHeight="1" x14ac:dyDescent="0.2">
      <c r="A382" s="163"/>
      <c r="B382" s="149"/>
      <c r="C382" s="535" t="s">
        <v>165</v>
      </c>
      <c r="D382" s="531"/>
      <c r="E382" s="531"/>
      <c r="F382" s="531"/>
      <c r="G382" s="164" t="str">
        <f>$J$1</f>
        <v>September</v>
      </c>
      <c r="H382" s="536">
        <f>$K$1</f>
        <v>2024</v>
      </c>
      <c r="I382" s="531"/>
      <c r="J382" s="149"/>
      <c r="K382" s="165"/>
      <c r="L382" s="166"/>
      <c r="M382" s="167"/>
      <c r="N382" s="168"/>
      <c r="O382" s="169" t="s">
        <v>91</v>
      </c>
      <c r="P382" s="169" t="s">
        <v>92</v>
      </c>
      <c r="Q382" s="169" t="s">
        <v>93</v>
      </c>
      <c r="R382" s="169" t="s">
        <v>94</v>
      </c>
      <c r="S382" s="170"/>
      <c r="T382" s="169" t="s">
        <v>91</v>
      </c>
      <c r="U382" s="169" t="s">
        <v>95</v>
      </c>
      <c r="V382" s="169" t="s">
        <v>9</v>
      </c>
      <c r="W382" s="169" t="s">
        <v>10</v>
      </c>
      <c r="X382" s="169" t="s">
        <v>11</v>
      </c>
      <c r="Y382" s="169" t="s">
        <v>96</v>
      </c>
      <c r="Z382" s="156"/>
      <c r="AA382" s="158"/>
      <c r="AB382" s="158"/>
      <c r="AC382" s="158"/>
    </row>
    <row r="383" spans="1:29" ht="18" customHeight="1" x14ac:dyDescent="0.2">
      <c r="A383" s="163"/>
      <c r="B383" s="149"/>
      <c r="C383" s="149"/>
      <c r="D383" s="172"/>
      <c r="E383" s="172"/>
      <c r="F383" s="172"/>
      <c r="G383" s="172"/>
      <c r="H383" s="172"/>
      <c r="I383" s="149"/>
      <c r="J383" s="173" t="s">
        <v>97</v>
      </c>
      <c r="K383" s="151">
        <f>25000+2000</f>
        <v>27000</v>
      </c>
      <c r="L383" s="174"/>
      <c r="M383" s="158"/>
      <c r="N383" s="175"/>
      <c r="O383" s="176" t="s">
        <v>98</v>
      </c>
      <c r="P383" s="176">
        <v>31</v>
      </c>
      <c r="Q383" s="176">
        <v>0</v>
      </c>
      <c r="R383" s="176">
        <v>0</v>
      </c>
      <c r="S383" s="177"/>
      <c r="T383" s="176" t="s">
        <v>98</v>
      </c>
      <c r="U383" s="178"/>
      <c r="V383" s="178"/>
      <c r="W383" s="178">
        <f>V383+U383</f>
        <v>0</v>
      </c>
      <c r="X383" s="178"/>
      <c r="Y383" s="178">
        <f>W383-X383</f>
        <v>0</v>
      </c>
      <c r="Z383" s="156"/>
      <c r="AA383" s="158"/>
      <c r="AB383" s="158"/>
      <c r="AC383" s="158"/>
    </row>
    <row r="384" spans="1:29" ht="18" customHeight="1" x14ac:dyDescent="0.2">
      <c r="A384" s="163"/>
      <c r="B384" s="149" t="s">
        <v>99</v>
      </c>
      <c r="C384" s="148" t="s">
        <v>166</v>
      </c>
      <c r="D384" s="149"/>
      <c r="E384" s="149"/>
      <c r="F384" s="149"/>
      <c r="G384" s="149"/>
      <c r="H384" s="179"/>
      <c r="I384" s="172"/>
      <c r="J384" s="149"/>
      <c r="K384" s="149"/>
      <c r="L384" s="180"/>
      <c r="M384" s="159"/>
      <c r="N384" s="181"/>
      <c r="O384" s="176" t="s">
        <v>100</v>
      </c>
      <c r="P384" s="176">
        <v>29</v>
      </c>
      <c r="Q384" s="176">
        <v>0</v>
      </c>
      <c r="R384" s="176">
        <v>0</v>
      </c>
      <c r="S384" s="156"/>
      <c r="T384" s="176" t="s">
        <v>100</v>
      </c>
      <c r="U384" s="182">
        <f>Y383</f>
        <v>0</v>
      </c>
      <c r="V384" s="178"/>
      <c r="W384" s="182">
        <f t="shared" ref="W384:W394" si="115">IF(U384="","",U384+V384)</f>
        <v>0</v>
      </c>
      <c r="X384" s="178"/>
      <c r="Y384" s="182">
        <f t="shared" ref="Y384:Y394" si="116">IF(W384="","",W384-X384)</f>
        <v>0</v>
      </c>
      <c r="Z384" s="156"/>
      <c r="AA384" s="158"/>
      <c r="AB384" s="158"/>
      <c r="AC384" s="158"/>
    </row>
    <row r="385" spans="1:29" ht="18" customHeight="1" x14ac:dyDescent="0.2">
      <c r="A385" s="163"/>
      <c r="B385" s="184" t="s">
        <v>101</v>
      </c>
      <c r="C385" s="185"/>
      <c r="D385" s="149"/>
      <c r="E385" s="149"/>
      <c r="F385" s="529" t="s">
        <v>89</v>
      </c>
      <c r="G385" s="503"/>
      <c r="H385" s="149"/>
      <c r="I385" s="529" t="s">
        <v>102</v>
      </c>
      <c r="J385" s="502"/>
      <c r="K385" s="503"/>
      <c r="L385" s="186"/>
      <c r="M385" s="158"/>
      <c r="N385" s="175"/>
      <c r="O385" s="176" t="s">
        <v>103</v>
      </c>
      <c r="P385" s="176">
        <v>31</v>
      </c>
      <c r="Q385" s="176">
        <v>0</v>
      </c>
      <c r="R385" s="176">
        <v>0</v>
      </c>
      <c r="S385" s="156"/>
      <c r="T385" s="176" t="s">
        <v>103</v>
      </c>
      <c r="U385" s="182">
        <f t="shared" ref="U385:U386" si="117">IF($J$1="April",Y384,Y384)</f>
        <v>0</v>
      </c>
      <c r="V385" s="178"/>
      <c r="W385" s="182">
        <f t="shared" si="115"/>
        <v>0</v>
      </c>
      <c r="X385" s="178"/>
      <c r="Y385" s="182">
        <f t="shared" si="116"/>
        <v>0</v>
      </c>
      <c r="Z385" s="156"/>
      <c r="AA385" s="158"/>
      <c r="AB385" s="158"/>
      <c r="AC385" s="158"/>
    </row>
    <row r="386" spans="1:29" ht="18" customHeight="1" x14ac:dyDescent="0.2">
      <c r="A386" s="163"/>
      <c r="B386" s="149"/>
      <c r="C386" s="149"/>
      <c r="D386" s="149"/>
      <c r="E386" s="149"/>
      <c r="F386" s="149"/>
      <c r="G386" s="149"/>
      <c r="H386" s="187"/>
      <c r="I386" s="149"/>
      <c r="J386" s="149"/>
      <c r="K386" s="149"/>
      <c r="L386" s="188"/>
      <c r="M386" s="158"/>
      <c r="N386" s="175"/>
      <c r="O386" s="176" t="s">
        <v>104</v>
      </c>
      <c r="P386" s="176">
        <v>30</v>
      </c>
      <c r="Q386" s="176">
        <v>0</v>
      </c>
      <c r="R386" s="176">
        <f t="shared" ref="R386:R387" si="118">IF(Q386="","",R385-Q386)</f>
        <v>0</v>
      </c>
      <c r="S386" s="156"/>
      <c r="T386" s="176" t="s">
        <v>104</v>
      </c>
      <c r="U386" s="182">
        <f t="shared" si="117"/>
        <v>0</v>
      </c>
      <c r="V386" s="178"/>
      <c r="W386" s="182">
        <f t="shared" si="115"/>
        <v>0</v>
      </c>
      <c r="X386" s="178"/>
      <c r="Y386" s="182">
        <f t="shared" si="116"/>
        <v>0</v>
      </c>
      <c r="Z386" s="156"/>
      <c r="AA386" s="158"/>
      <c r="AB386" s="158"/>
      <c r="AC386" s="158"/>
    </row>
    <row r="387" spans="1:29" ht="18" customHeight="1" x14ac:dyDescent="0.2">
      <c r="A387" s="163"/>
      <c r="B387" s="527" t="s">
        <v>88</v>
      </c>
      <c r="C387" s="503"/>
      <c r="D387" s="149"/>
      <c r="E387" s="149"/>
      <c r="F387" s="189" t="s">
        <v>105</v>
      </c>
      <c r="G387" s="190" t="str">
        <f>IF($J$1="January",U383,IF($J$1="February",U384,IF($J$1="March",U385,IF($J$1="April",U386,IF($J$1="May",U387,IF($J$1="June",U388,IF($J$1="July",U389,IF($J$1="August",U390,IF($J$1="August",U390,IF($J$1="September",U391,IF($J$1="October",U392,IF($J$1="November",U393,IF($J$1="December",U394)))))))))))))</f>
        <v/>
      </c>
      <c r="H387" s="187"/>
      <c r="I387" s="191">
        <f>IF(C391&gt;0,$K$2,C389)</f>
        <v>30</v>
      </c>
      <c r="J387" s="192" t="s">
        <v>106</v>
      </c>
      <c r="K387" s="193">
        <f>K383/$K$2*I387</f>
        <v>27000</v>
      </c>
      <c r="L387" s="194"/>
      <c r="M387" s="158"/>
      <c r="N387" s="175"/>
      <c r="O387" s="176" t="s">
        <v>107</v>
      </c>
      <c r="P387" s="176">
        <v>31</v>
      </c>
      <c r="Q387" s="176">
        <v>0</v>
      </c>
      <c r="R387" s="176">
        <f t="shared" si="118"/>
        <v>0</v>
      </c>
      <c r="S387" s="156"/>
      <c r="T387" s="176" t="s">
        <v>107</v>
      </c>
      <c r="U387" s="182">
        <f t="shared" ref="U387:U388" si="119">IF($J$1="May",Y386,Y386)</f>
        <v>0</v>
      </c>
      <c r="V387" s="178"/>
      <c r="W387" s="182">
        <f t="shared" si="115"/>
        <v>0</v>
      </c>
      <c r="X387" s="178"/>
      <c r="Y387" s="182">
        <f t="shared" si="116"/>
        <v>0</v>
      </c>
      <c r="Z387" s="156"/>
      <c r="AA387" s="158"/>
      <c r="AB387" s="158"/>
      <c r="AC387" s="158"/>
    </row>
    <row r="388" spans="1:29" ht="18" customHeight="1" x14ac:dyDescent="0.2">
      <c r="A388" s="163"/>
      <c r="B388" s="195"/>
      <c r="C388" s="195"/>
      <c r="D388" s="149"/>
      <c r="E388" s="149"/>
      <c r="F388" s="189" t="s">
        <v>9</v>
      </c>
      <c r="G388" s="190">
        <f>IF($J$1="January",V383,IF($J$1="February",V384,IF($J$1="March",V385,IF($J$1="April",V386,IF($J$1="May",V387,IF($J$1="June",V388,IF($J$1="July",V389,IF($J$1="August",V390,IF($J$1="August",V390,IF($J$1="September",V391,IF($J$1="October",V392,IF($J$1="November",V393,IF($J$1="December",V394)))))))))))))</f>
        <v>0</v>
      </c>
      <c r="H388" s="187"/>
      <c r="I388" s="191">
        <v>0</v>
      </c>
      <c r="J388" s="192" t="s">
        <v>108</v>
      </c>
      <c r="K388" s="190">
        <f>K383/$K$2/8*I388</f>
        <v>0</v>
      </c>
      <c r="L388" s="196"/>
      <c r="M388" s="158"/>
      <c r="N388" s="175"/>
      <c r="O388" s="176" t="s">
        <v>84</v>
      </c>
      <c r="P388" s="176">
        <v>29</v>
      </c>
      <c r="Q388" s="176">
        <v>1</v>
      </c>
      <c r="R388" s="176">
        <v>0</v>
      </c>
      <c r="S388" s="156"/>
      <c r="T388" s="176" t="s">
        <v>84</v>
      </c>
      <c r="U388" s="182">
        <f t="shared" si="119"/>
        <v>0</v>
      </c>
      <c r="V388" s="178"/>
      <c r="W388" s="182">
        <f t="shared" si="115"/>
        <v>0</v>
      </c>
      <c r="X388" s="178"/>
      <c r="Y388" s="182">
        <f t="shared" si="116"/>
        <v>0</v>
      </c>
      <c r="Z388" s="156"/>
      <c r="AA388" s="158"/>
      <c r="AB388" s="158"/>
      <c r="AC388" s="158"/>
    </row>
    <row r="389" spans="1:29" ht="18" customHeight="1" x14ac:dyDescent="0.2">
      <c r="A389" s="163"/>
      <c r="B389" s="189" t="s">
        <v>92</v>
      </c>
      <c r="C389" s="195">
        <f>IF($J$1="January",P383,IF($J$1="February",P384,IF($J$1="March",P385,IF($J$1="April",P386,IF($J$1="May",P387,IF($J$1="June",P388,IF($J$1="July",P389,IF($J$1="August",P390,IF($J$1="August",P390,IF($J$1="September",P391,IF($J$1="October",P392,IF($J$1="November",P393,IF($J$1="December",P394)))))))))))))</f>
        <v>30</v>
      </c>
      <c r="D389" s="149"/>
      <c r="E389" s="149"/>
      <c r="F389" s="189" t="s">
        <v>109</v>
      </c>
      <c r="G389" s="190" t="str">
        <f>IF($J$1="January",W383,IF($J$1="February",W384,IF($J$1="March",W385,IF($J$1="April",W386,IF($J$1="May",W387,IF($J$1="June",W388,IF($J$1="July",W389,IF($J$1="August",W390,IF($J$1="August",W390,IF($J$1="September",W391,IF($J$1="October",W392,IF($J$1="November",W393,IF($J$1="December",W394)))))))))))))</f>
        <v/>
      </c>
      <c r="H389" s="187"/>
      <c r="I389" s="528" t="s">
        <v>110</v>
      </c>
      <c r="J389" s="503"/>
      <c r="K389" s="190">
        <f>K387+K388</f>
        <v>27000</v>
      </c>
      <c r="L389" s="196"/>
      <c r="M389" s="158"/>
      <c r="N389" s="175"/>
      <c r="O389" s="176" t="s">
        <v>111</v>
      </c>
      <c r="P389" s="176">
        <v>31</v>
      </c>
      <c r="Q389" s="176">
        <v>0</v>
      </c>
      <c r="R389" s="176">
        <f t="shared" ref="R389:R394" si="120">IF(Q389="","",R388-Q389)</f>
        <v>0</v>
      </c>
      <c r="S389" s="156"/>
      <c r="T389" s="176" t="s">
        <v>111</v>
      </c>
      <c r="U389" s="182" t="str">
        <f>IF($J$1="July",Y388,"")</f>
        <v/>
      </c>
      <c r="V389" s="178"/>
      <c r="W389" s="182" t="str">
        <f t="shared" si="115"/>
        <v/>
      </c>
      <c r="X389" s="178"/>
      <c r="Y389" s="182" t="str">
        <f t="shared" si="116"/>
        <v/>
      </c>
      <c r="Z389" s="156"/>
      <c r="AA389" s="158"/>
      <c r="AB389" s="158"/>
      <c r="AC389" s="158"/>
    </row>
    <row r="390" spans="1:29" ht="18" customHeight="1" x14ac:dyDescent="0.2">
      <c r="A390" s="163"/>
      <c r="B390" s="189" t="s">
        <v>93</v>
      </c>
      <c r="C390" s="195">
        <f>IF($J$1="January",Q383,IF($J$1="February",Q384,IF($J$1="March",Q385,IF($J$1="April",Q386,IF($J$1="May",Q387,IF($J$1="June",Q388,IF($J$1="July",Q389,IF($J$1="August",Q390,IF($J$1="August",Q390,IF($J$1="September",Q391,IF($J$1="October",Q392,IF($J$1="November",Q393,IF($J$1="December",Q394)))))))))))))</f>
        <v>0</v>
      </c>
      <c r="D390" s="149"/>
      <c r="E390" s="149"/>
      <c r="F390" s="189" t="s">
        <v>11</v>
      </c>
      <c r="G390" s="190">
        <f>IF($J$1="January",X383,IF($J$1="February",X384,IF($J$1="March",X385,IF($J$1="April",X386,IF($J$1="May",X387,IF($J$1="June",X388,IF($J$1="July",X389,IF($J$1="August",X390,IF($J$1="August",X390,IF($J$1="September",X391,IF($J$1="October",X392,IF($J$1="November",X393,IF($J$1="December",X394)))))))))))))</f>
        <v>0</v>
      </c>
      <c r="H390" s="187"/>
      <c r="I390" s="528" t="s">
        <v>112</v>
      </c>
      <c r="J390" s="503"/>
      <c r="K390" s="190">
        <f>G390</f>
        <v>0</v>
      </c>
      <c r="L390" s="196"/>
      <c r="M390" s="158"/>
      <c r="N390" s="175"/>
      <c r="O390" s="176" t="s">
        <v>113</v>
      </c>
      <c r="P390" s="176">
        <v>31</v>
      </c>
      <c r="Q390" s="176">
        <v>0</v>
      </c>
      <c r="R390" s="176">
        <f t="shared" si="120"/>
        <v>0</v>
      </c>
      <c r="S390" s="156"/>
      <c r="T390" s="176" t="s">
        <v>113</v>
      </c>
      <c r="U390" s="182" t="str">
        <f>IF($J$1="August",Y389,"")</f>
        <v/>
      </c>
      <c r="V390" s="178"/>
      <c r="W390" s="182" t="str">
        <f t="shared" si="115"/>
        <v/>
      </c>
      <c r="X390" s="178"/>
      <c r="Y390" s="182" t="str">
        <f t="shared" si="116"/>
        <v/>
      </c>
      <c r="Z390" s="156"/>
      <c r="AA390" s="158"/>
      <c r="AB390" s="158"/>
      <c r="AC390" s="158"/>
    </row>
    <row r="391" spans="1:29" ht="18" customHeight="1" x14ac:dyDescent="0.2">
      <c r="A391" s="163"/>
      <c r="B391" s="212" t="s">
        <v>114</v>
      </c>
      <c r="C391" s="195">
        <f>IF($J$1="January",R383,IF($J$1="February",R384,IF($J$1="March",R385,IF($J$1="April",R386,IF($J$1="May",R387,IF($J$1="June",R388,IF($J$1="July",R389,IF($J$1="August",R390,IF($J$1="August",R390,IF($J$1="September",R391,IF($J$1="October",R392,IF($J$1="November",R393,IF($J$1="December",R394)))))))))))))</f>
        <v>0</v>
      </c>
      <c r="D391" s="149"/>
      <c r="E391" s="149"/>
      <c r="F391" s="189" t="s">
        <v>167</v>
      </c>
      <c r="G391" s="190" t="str">
        <f>IF($J$1="January",Y383,IF($J$1="February",Y384,IF($J$1="March",Y385,IF($J$1="April",Y386,IF($J$1="May",Y387,IF($J$1="June",Y388,IF($J$1="July",Y389,IF($J$1="August",Y390,IF($J$1="August",Y390,IF($J$1="September",Y391,IF($J$1="October",Y392,IF($J$1="November",Y393,IF($J$1="December",Y394)))))))))))))</f>
        <v/>
      </c>
      <c r="H391" s="149"/>
      <c r="I391" s="529" t="s">
        <v>13</v>
      </c>
      <c r="J391" s="503"/>
      <c r="K391" s="37">
        <f>K389-K390</f>
        <v>27000</v>
      </c>
      <c r="L391" s="180"/>
      <c r="M391" s="158"/>
      <c r="N391" s="175"/>
      <c r="O391" s="176" t="s">
        <v>116</v>
      </c>
      <c r="P391" s="176">
        <v>30</v>
      </c>
      <c r="Q391" s="176">
        <v>0</v>
      </c>
      <c r="R391" s="176">
        <f t="shared" si="120"/>
        <v>0</v>
      </c>
      <c r="S391" s="156"/>
      <c r="T391" s="176" t="s">
        <v>116</v>
      </c>
      <c r="U391" s="182" t="str">
        <f>IF($J$1="Sept",Y390,"")</f>
        <v/>
      </c>
      <c r="V391" s="178"/>
      <c r="W391" s="182" t="str">
        <f t="shared" si="115"/>
        <v/>
      </c>
      <c r="X391" s="178"/>
      <c r="Y391" s="182" t="str">
        <f t="shared" si="116"/>
        <v/>
      </c>
      <c r="Z391" s="156"/>
      <c r="AA391" s="158"/>
      <c r="AB391" s="158"/>
      <c r="AC391" s="158"/>
    </row>
    <row r="392" spans="1:29" ht="18" customHeight="1" x14ac:dyDescent="0.2">
      <c r="A392" s="163"/>
      <c r="B392" s="149"/>
      <c r="C392" s="149"/>
      <c r="D392" s="149"/>
      <c r="E392" s="149"/>
      <c r="F392" s="149"/>
      <c r="G392" s="149"/>
      <c r="H392" s="149"/>
      <c r="I392" s="530"/>
      <c r="J392" s="531"/>
      <c r="K392" s="151"/>
      <c r="L392" s="186"/>
      <c r="M392" s="158"/>
      <c r="N392" s="175"/>
      <c r="O392" s="176" t="s">
        <v>117</v>
      </c>
      <c r="P392" s="176"/>
      <c r="Q392" s="176"/>
      <c r="R392" s="176" t="str">
        <f t="shared" si="120"/>
        <v/>
      </c>
      <c r="S392" s="156"/>
      <c r="T392" s="176" t="s">
        <v>117</v>
      </c>
      <c r="U392" s="182" t="str">
        <f>IF($J$1="October",Y391,"")</f>
        <v/>
      </c>
      <c r="V392" s="178"/>
      <c r="W392" s="182" t="str">
        <f t="shared" si="115"/>
        <v/>
      </c>
      <c r="X392" s="178"/>
      <c r="Y392" s="182" t="str">
        <f t="shared" si="116"/>
        <v/>
      </c>
      <c r="Z392" s="156"/>
      <c r="AA392" s="158"/>
      <c r="AB392" s="158"/>
      <c r="AC392" s="158"/>
    </row>
    <row r="393" spans="1:29" ht="18" customHeight="1" x14ac:dyDescent="0.3">
      <c r="A393" s="163"/>
      <c r="B393" s="147"/>
      <c r="C393" s="147"/>
      <c r="D393" s="147"/>
      <c r="E393" s="147"/>
      <c r="F393" s="147"/>
      <c r="G393" s="147"/>
      <c r="H393" s="147"/>
      <c r="I393" s="530"/>
      <c r="J393" s="531"/>
      <c r="K393" s="151"/>
      <c r="L393" s="186"/>
      <c r="M393" s="158"/>
      <c r="N393" s="175"/>
      <c r="O393" s="176" t="s">
        <v>118</v>
      </c>
      <c r="P393" s="176"/>
      <c r="Q393" s="176"/>
      <c r="R393" s="176" t="str">
        <f t="shared" si="120"/>
        <v/>
      </c>
      <c r="S393" s="156"/>
      <c r="T393" s="176" t="s">
        <v>118</v>
      </c>
      <c r="U393" s="182" t="str">
        <f>IF($J$1="November",Y392,"")</f>
        <v/>
      </c>
      <c r="V393" s="178"/>
      <c r="W393" s="182" t="str">
        <f t="shared" si="115"/>
        <v/>
      </c>
      <c r="X393" s="178"/>
      <c r="Y393" s="182" t="str">
        <f t="shared" si="116"/>
        <v/>
      </c>
      <c r="Z393" s="156"/>
      <c r="AA393" s="158"/>
      <c r="AB393" s="158"/>
      <c r="AC393" s="158"/>
    </row>
    <row r="394" spans="1:29" ht="18" customHeight="1" x14ac:dyDescent="0.3">
      <c r="A394" s="163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86"/>
      <c r="M394" s="158"/>
      <c r="N394" s="175"/>
      <c r="O394" s="176" t="s">
        <v>119</v>
      </c>
      <c r="P394" s="176"/>
      <c r="Q394" s="176"/>
      <c r="R394" s="176" t="str">
        <f t="shared" si="120"/>
        <v/>
      </c>
      <c r="S394" s="156"/>
      <c r="T394" s="176" t="s">
        <v>119</v>
      </c>
      <c r="U394" s="182" t="str">
        <f>IF($J$1="Dec",Y393,"")</f>
        <v/>
      </c>
      <c r="V394" s="178"/>
      <c r="W394" s="182" t="str">
        <f t="shared" si="115"/>
        <v/>
      </c>
      <c r="X394" s="178"/>
      <c r="Y394" s="182" t="str">
        <f t="shared" si="116"/>
        <v/>
      </c>
      <c r="Z394" s="156"/>
      <c r="AA394" s="158"/>
      <c r="AB394" s="158"/>
      <c r="AC394" s="158"/>
    </row>
    <row r="395" spans="1:29" ht="18" customHeight="1" thickBot="1" x14ac:dyDescent="0.25">
      <c r="A395" s="197"/>
      <c r="B395" s="213"/>
      <c r="C395" s="213"/>
      <c r="D395" s="213"/>
      <c r="E395" s="213"/>
      <c r="F395" s="213"/>
      <c r="G395" s="213"/>
      <c r="H395" s="213"/>
      <c r="I395" s="213"/>
      <c r="J395" s="213"/>
      <c r="K395" s="213"/>
      <c r="L395" s="199"/>
      <c r="M395" s="158"/>
      <c r="N395" s="214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156"/>
      <c r="AA395" s="158"/>
      <c r="AB395" s="158"/>
      <c r="AC395" s="158"/>
    </row>
    <row r="396" spans="1:29" ht="18" customHeight="1" thickBot="1" x14ac:dyDescent="0.35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  <c r="AA396" s="150"/>
      <c r="AB396" s="150"/>
      <c r="AC396" s="150"/>
    </row>
    <row r="397" spans="1:29" ht="18" customHeight="1" thickBot="1" x14ac:dyDescent="0.25">
      <c r="A397" s="532" t="s">
        <v>87</v>
      </c>
      <c r="B397" s="533"/>
      <c r="C397" s="533"/>
      <c r="D397" s="533"/>
      <c r="E397" s="533"/>
      <c r="F397" s="533"/>
      <c r="G397" s="533"/>
      <c r="H397" s="533"/>
      <c r="I397" s="533"/>
      <c r="J397" s="533"/>
      <c r="K397" s="533"/>
      <c r="L397" s="534"/>
      <c r="M397" s="159"/>
      <c r="N397" s="160"/>
      <c r="O397" s="524" t="s">
        <v>88</v>
      </c>
      <c r="P397" s="525"/>
      <c r="Q397" s="525"/>
      <c r="R397" s="526"/>
      <c r="S397" s="161"/>
      <c r="T397" s="524" t="s">
        <v>89</v>
      </c>
      <c r="U397" s="525"/>
      <c r="V397" s="525"/>
      <c r="W397" s="525"/>
      <c r="X397" s="525"/>
      <c r="Y397" s="526"/>
      <c r="Z397" s="162"/>
      <c r="AA397" s="159"/>
      <c r="AB397" s="158"/>
      <c r="AC397" s="158"/>
    </row>
    <row r="398" spans="1:29" ht="18" customHeight="1" x14ac:dyDescent="0.2">
      <c r="A398" s="163"/>
      <c r="B398" s="149"/>
      <c r="C398" s="535" t="s">
        <v>168</v>
      </c>
      <c r="D398" s="531"/>
      <c r="E398" s="531"/>
      <c r="F398" s="531"/>
      <c r="G398" s="164" t="str">
        <f>$J$1</f>
        <v>September</v>
      </c>
      <c r="H398" s="536">
        <f>$K$1</f>
        <v>2024</v>
      </c>
      <c r="I398" s="531"/>
      <c r="J398" s="149"/>
      <c r="K398" s="165"/>
      <c r="L398" s="166"/>
      <c r="M398" s="167"/>
      <c r="N398" s="168"/>
      <c r="O398" s="169" t="s">
        <v>91</v>
      </c>
      <c r="P398" s="169" t="s">
        <v>92</v>
      </c>
      <c r="Q398" s="169" t="s">
        <v>93</v>
      </c>
      <c r="R398" s="169" t="s">
        <v>94</v>
      </c>
      <c r="S398" s="170"/>
      <c r="T398" s="169" t="s">
        <v>91</v>
      </c>
      <c r="U398" s="169" t="s">
        <v>95</v>
      </c>
      <c r="V398" s="169" t="s">
        <v>9</v>
      </c>
      <c r="W398" s="169" t="s">
        <v>10</v>
      </c>
      <c r="X398" s="169" t="s">
        <v>11</v>
      </c>
      <c r="Y398" s="169" t="s">
        <v>96</v>
      </c>
      <c r="Z398" s="171"/>
      <c r="AA398" s="167"/>
      <c r="AB398" s="158"/>
      <c r="AC398" s="158"/>
    </row>
    <row r="399" spans="1:29" ht="18" customHeight="1" x14ac:dyDescent="0.2">
      <c r="A399" s="163"/>
      <c r="B399" s="149"/>
      <c r="C399" s="149"/>
      <c r="D399" s="172"/>
      <c r="E399" s="172"/>
      <c r="F399" s="172"/>
      <c r="G399" s="172"/>
      <c r="H399" s="172"/>
      <c r="I399" s="149"/>
      <c r="J399" s="173" t="s">
        <v>97</v>
      </c>
      <c r="K399" s="151">
        <f>25000+2000+4000</f>
        <v>31000</v>
      </c>
      <c r="L399" s="174"/>
      <c r="M399" s="158"/>
      <c r="N399" s="175"/>
      <c r="O399" s="176" t="s">
        <v>98</v>
      </c>
      <c r="P399" s="176">
        <v>31</v>
      </c>
      <c r="Q399" s="176">
        <v>0</v>
      </c>
      <c r="R399" s="176">
        <f>15-Q399</f>
        <v>15</v>
      </c>
      <c r="S399" s="177"/>
      <c r="T399" s="176" t="s">
        <v>98</v>
      </c>
      <c r="U399" s="178">
        <v>19000</v>
      </c>
      <c r="V399" s="178">
        <v>2000</v>
      </c>
      <c r="W399" s="178">
        <f>V399+U399</f>
        <v>21000</v>
      </c>
      <c r="X399" s="178">
        <v>2000</v>
      </c>
      <c r="Y399" s="178">
        <f>W399-X399</f>
        <v>19000</v>
      </c>
      <c r="Z399" s="171"/>
      <c r="AA399" s="158"/>
      <c r="AB399" s="158"/>
      <c r="AC399" s="158"/>
    </row>
    <row r="400" spans="1:29" ht="18" customHeight="1" x14ac:dyDescent="0.2">
      <c r="A400" s="163"/>
      <c r="B400" s="149" t="s">
        <v>99</v>
      </c>
      <c r="C400" s="148" t="s">
        <v>169</v>
      </c>
      <c r="D400" s="149"/>
      <c r="E400" s="149"/>
      <c r="F400" s="149"/>
      <c r="G400" s="149"/>
      <c r="H400" s="179"/>
      <c r="I400" s="172"/>
      <c r="J400" s="149"/>
      <c r="K400" s="149"/>
      <c r="L400" s="180"/>
      <c r="M400" s="159"/>
      <c r="N400" s="181"/>
      <c r="O400" s="176" t="s">
        <v>100</v>
      </c>
      <c r="P400" s="176">
        <v>26</v>
      </c>
      <c r="Q400" s="176">
        <v>3</v>
      </c>
      <c r="R400" s="176">
        <f t="shared" ref="R400:R410" si="121">IF(Q400="","",R399-Q400)</f>
        <v>12</v>
      </c>
      <c r="S400" s="156"/>
      <c r="T400" s="176" t="s">
        <v>100</v>
      </c>
      <c r="U400" s="182">
        <f t="shared" ref="U400:U404" si="122">Y399</f>
        <v>19000</v>
      </c>
      <c r="V400" s="178">
        <v>3000</v>
      </c>
      <c r="W400" s="182">
        <f t="shared" ref="W400:W410" si="123">IF(U400="","",U400+V400)</f>
        <v>22000</v>
      </c>
      <c r="X400" s="178">
        <v>2000</v>
      </c>
      <c r="Y400" s="182">
        <f t="shared" ref="Y400:Y410" si="124">IF(W400="","",W400-X400)</f>
        <v>20000</v>
      </c>
      <c r="Z400" s="183"/>
      <c r="AA400" s="159"/>
      <c r="AB400" s="158"/>
      <c r="AC400" s="158"/>
    </row>
    <row r="401" spans="1:29" ht="18" customHeight="1" x14ac:dyDescent="0.2">
      <c r="A401" s="163"/>
      <c r="B401" s="184" t="s">
        <v>101</v>
      </c>
      <c r="C401" s="185"/>
      <c r="D401" s="149"/>
      <c r="E401" s="149"/>
      <c r="F401" s="529" t="s">
        <v>89</v>
      </c>
      <c r="G401" s="503"/>
      <c r="H401" s="149"/>
      <c r="I401" s="529" t="s">
        <v>102</v>
      </c>
      <c r="J401" s="502"/>
      <c r="K401" s="503"/>
      <c r="L401" s="186"/>
      <c r="M401" s="158"/>
      <c r="N401" s="175"/>
      <c r="O401" s="176" t="s">
        <v>103</v>
      </c>
      <c r="P401" s="176">
        <v>31</v>
      </c>
      <c r="Q401" s="176">
        <v>0</v>
      </c>
      <c r="R401" s="176">
        <f t="shared" si="121"/>
        <v>12</v>
      </c>
      <c r="S401" s="156"/>
      <c r="T401" s="176" t="s">
        <v>103</v>
      </c>
      <c r="U401" s="182">
        <f t="shared" si="122"/>
        <v>20000</v>
      </c>
      <c r="V401" s="178"/>
      <c r="W401" s="182">
        <f t="shared" si="123"/>
        <v>20000</v>
      </c>
      <c r="X401" s="178">
        <v>2000</v>
      </c>
      <c r="Y401" s="182">
        <f t="shared" si="124"/>
        <v>18000</v>
      </c>
      <c r="Z401" s="183"/>
      <c r="AA401" s="158"/>
      <c r="AB401" s="158"/>
      <c r="AC401" s="158"/>
    </row>
    <row r="402" spans="1:29" ht="18" customHeight="1" x14ac:dyDescent="0.2">
      <c r="A402" s="163"/>
      <c r="B402" s="149"/>
      <c r="C402" s="149"/>
      <c r="D402" s="149"/>
      <c r="E402" s="149"/>
      <c r="F402" s="149"/>
      <c r="G402" s="149"/>
      <c r="H402" s="187"/>
      <c r="I402" s="149"/>
      <c r="J402" s="149"/>
      <c r="K402" s="149"/>
      <c r="L402" s="188"/>
      <c r="M402" s="158"/>
      <c r="N402" s="175"/>
      <c r="O402" s="176" t="s">
        <v>104</v>
      </c>
      <c r="P402" s="176">
        <v>29</v>
      </c>
      <c r="Q402" s="176">
        <v>1</v>
      </c>
      <c r="R402" s="176">
        <f t="shared" si="121"/>
        <v>11</v>
      </c>
      <c r="S402" s="156"/>
      <c r="T402" s="176" t="s">
        <v>104</v>
      </c>
      <c r="U402" s="182">
        <f t="shared" si="122"/>
        <v>18000</v>
      </c>
      <c r="V402" s="178">
        <v>2000</v>
      </c>
      <c r="W402" s="182">
        <f t="shared" si="123"/>
        <v>20000</v>
      </c>
      <c r="X402" s="178">
        <v>2000</v>
      </c>
      <c r="Y402" s="182">
        <f t="shared" si="124"/>
        <v>18000</v>
      </c>
      <c r="Z402" s="183"/>
      <c r="AA402" s="158"/>
      <c r="AB402" s="158"/>
      <c r="AC402" s="158"/>
    </row>
    <row r="403" spans="1:29" ht="18" customHeight="1" x14ac:dyDescent="0.2">
      <c r="A403" s="163"/>
      <c r="B403" s="527" t="s">
        <v>88</v>
      </c>
      <c r="C403" s="503"/>
      <c r="D403" s="149"/>
      <c r="E403" s="149"/>
      <c r="F403" s="189" t="s">
        <v>105</v>
      </c>
      <c r="G403" s="190">
        <f>IF($J$1="January",U399,IF($J$1="February",U400,IF($J$1="March",U401,IF($J$1="April",U402,IF($J$1="May",U403,IF($J$1="June",U404,IF($J$1="July",U405,IF($J$1="August",U406,IF($J$1="August",U406,IF($J$1="September",U407,IF($J$1="October",U408,IF($J$1="November",U409,IF($J$1="December",U410)))))))))))))</f>
        <v>23000</v>
      </c>
      <c r="H403" s="187"/>
      <c r="I403" s="191">
        <f>IF(C407&gt;=C406,$K$2,C405+C407)</f>
        <v>30</v>
      </c>
      <c r="J403" s="192" t="s">
        <v>106</v>
      </c>
      <c r="K403" s="193">
        <f>K399/$K$2*I403</f>
        <v>30999.999999999996</v>
      </c>
      <c r="L403" s="194"/>
      <c r="M403" s="158"/>
      <c r="N403" s="175"/>
      <c r="O403" s="176" t="s">
        <v>107</v>
      </c>
      <c r="P403" s="176">
        <v>31</v>
      </c>
      <c r="Q403" s="176">
        <v>0</v>
      </c>
      <c r="R403" s="176">
        <f t="shared" si="121"/>
        <v>11</v>
      </c>
      <c r="S403" s="156"/>
      <c r="T403" s="176" t="s">
        <v>107</v>
      </c>
      <c r="U403" s="182">
        <f t="shared" si="122"/>
        <v>18000</v>
      </c>
      <c r="V403" s="178">
        <v>2000</v>
      </c>
      <c r="W403" s="182">
        <f t="shared" si="123"/>
        <v>20000</v>
      </c>
      <c r="X403" s="178">
        <v>2000</v>
      </c>
      <c r="Y403" s="182">
        <f t="shared" si="124"/>
        <v>18000</v>
      </c>
      <c r="Z403" s="183"/>
      <c r="AA403" s="158"/>
      <c r="AB403" s="158"/>
      <c r="AC403" s="158"/>
    </row>
    <row r="404" spans="1:29" ht="18" customHeight="1" x14ac:dyDescent="0.2">
      <c r="A404" s="163"/>
      <c r="B404" s="195"/>
      <c r="C404" s="195"/>
      <c r="D404" s="149"/>
      <c r="E404" s="149"/>
      <c r="F404" s="189" t="s">
        <v>9</v>
      </c>
      <c r="G404" s="190">
        <f>IF($J$1="January",V399,IF($J$1="February",V400,IF($J$1="March",V401,IF($J$1="April",V402,IF($J$1="May",V403,IF($J$1="June",V404,IF($J$1="July",V405,IF($J$1="August",V406,IF($J$1="August",V406,IF($J$1="September",V407,IF($J$1="October",V408,IF($J$1="November",V409,IF($J$1="December",V410)))))))))))))</f>
        <v>0</v>
      </c>
      <c r="H404" s="187"/>
      <c r="I404" s="191">
        <v>92</v>
      </c>
      <c r="J404" s="192" t="s">
        <v>108</v>
      </c>
      <c r="K404" s="190">
        <f>K399/$K$2/8*I404</f>
        <v>11883.333333333332</v>
      </c>
      <c r="L404" s="196"/>
      <c r="M404" s="158"/>
      <c r="N404" s="175"/>
      <c r="O404" s="176" t="s">
        <v>84</v>
      </c>
      <c r="P404" s="176">
        <v>30</v>
      </c>
      <c r="Q404" s="176">
        <v>0</v>
      </c>
      <c r="R404" s="176">
        <f t="shared" si="121"/>
        <v>11</v>
      </c>
      <c r="S404" s="156"/>
      <c r="T404" s="176" t="s">
        <v>84</v>
      </c>
      <c r="U404" s="182">
        <f t="shared" si="122"/>
        <v>18000</v>
      </c>
      <c r="V404" s="178">
        <v>3000</v>
      </c>
      <c r="W404" s="182">
        <f t="shared" si="123"/>
        <v>21000</v>
      </c>
      <c r="X404" s="178">
        <v>2000</v>
      </c>
      <c r="Y404" s="182">
        <f t="shared" si="124"/>
        <v>19000</v>
      </c>
      <c r="Z404" s="183"/>
      <c r="AA404" s="158"/>
      <c r="AB404" s="158"/>
      <c r="AC404" s="158"/>
    </row>
    <row r="405" spans="1:29" ht="18" customHeight="1" x14ac:dyDescent="0.2">
      <c r="A405" s="163"/>
      <c r="B405" s="189" t="s">
        <v>92</v>
      </c>
      <c r="C405" s="195">
        <f>IF($J$1="January",P399,IF($J$1="February",P400,IF($J$1="March",P401,IF($J$1="April",P402,IF($J$1="May",P403,IF($J$1="June",P404,IF($J$1="July",P405,IF($J$1="August",P406,IF($J$1="August",P406,IF($J$1="September",P407,IF($J$1="October",P408,IF($J$1="November",P409,IF($J$1="December",P410)))))))))))))</f>
        <v>29</v>
      </c>
      <c r="D405" s="149"/>
      <c r="E405" s="149"/>
      <c r="F405" s="189" t="s">
        <v>109</v>
      </c>
      <c r="G405" s="190">
        <f>IF($J$1="January",W399,IF($J$1="February",W400,IF($J$1="March",W401,IF($J$1="April",W402,IF($J$1="May",W403,IF($J$1="June",W404,IF($J$1="July",W405,IF($J$1="August",W406,IF($J$1="August",W406,IF($J$1="September",W407,IF($J$1="October",W408,IF($J$1="November",W409,IF($J$1="December",W410)))))))))))))</f>
        <v>23000</v>
      </c>
      <c r="H405" s="187"/>
      <c r="I405" s="528" t="s">
        <v>110</v>
      </c>
      <c r="J405" s="503"/>
      <c r="K405" s="190">
        <f>K403+K404</f>
        <v>42883.333333333328</v>
      </c>
      <c r="L405" s="196"/>
      <c r="M405" s="158"/>
      <c r="N405" s="175"/>
      <c r="O405" s="176" t="s">
        <v>111</v>
      </c>
      <c r="P405" s="176">
        <v>30</v>
      </c>
      <c r="Q405" s="176">
        <v>1</v>
      </c>
      <c r="R405" s="176">
        <f t="shared" si="121"/>
        <v>10</v>
      </c>
      <c r="S405" s="156"/>
      <c r="T405" s="176" t="s">
        <v>111</v>
      </c>
      <c r="U405" s="182">
        <f>Y404</f>
        <v>19000</v>
      </c>
      <c r="V405" s="178">
        <v>3000</v>
      </c>
      <c r="W405" s="182">
        <f t="shared" si="123"/>
        <v>22000</v>
      </c>
      <c r="X405" s="178">
        <v>2000</v>
      </c>
      <c r="Y405" s="182">
        <f t="shared" si="124"/>
        <v>20000</v>
      </c>
      <c r="Z405" s="183"/>
      <c r="AA405" s="158"/>
      <c r="AB405" s="158"/>
      <c r="AC405" s="158"/>
    </row>
    <row r="406" spans="1:29" ht="18" customHeight="1" x14ac:dyDescent="0.2">
      <c r="A406" s="163"/>
      <c r="B406" s="189" t="s">
        <v>93</v>
      </c>
      <c r="C406" s="195">
        <f>IF($J$1="January",Q399,IF($J$1="February",Q400,IF($J$1="March",Q401,IF($J$1="April",Q402,IF($J$1="May",Q403,IF($J$1="June",Q404,IF($J$1="July",Q405,IF($J$1="August",Q406,IF($J$1="August",Q406,IF($J$1="September",Q407,IF($J$1="October",Q408,IF($J$1="November",Q409,IF($J$1="December",Q410)))))))))))))</f>
        <v>1</v>
      </c>
      <c r="D406" s="149"/>
      <c r="E406" s="149"/>
      <c r="F406" s="189" t="s">
        <v>11</v>
      </c>
      <c r="G406" s="190">
        <f>IF($J$1="January",X399,IF($J$1="February",X400,IF($J$1="March",X401,IF($J$1="April",X402,IF($J$1="May",X403,IF($J$1="June",X404,IF($J$1="July",X405,IF($J$1="August",X406,IF($J$1="August",X406,IF($J$1="September",X407,IF($J$1="October",X408,IF($J$1="November",X409,IF($J$1="December",X410)))))))))))))</f>
        <v>2000</v>
      </c>
      <c r="H406" s="187"/>
      <c r="I406" s="528" t="s">
        <v>112</v>
      </c>
      <c r="J406" s="503"/>
      <c r="K406" s="190">
        <f>G406</f>
        <v>2000</v>
      </c>
      <c r="L406" s="196"/>
      <c r="M406" s="158"/>
      <c r="N406" s="175"/>
      <c r="O406" s="176" t="s">
        <v>113</v>
      </c>
      <c r="P406" s="176">
        <v>30</v>
      </c>
      <c r="Q406" s="176">
        <v>1</v>
      </c>
      <c r="R406" s="176">
        <f t="shared" si="121"/>
        <v>9</v>
      </c>
      <c r="S406" s="156"/>
      <c r="T406" s="176" t="s">
        <v>113</v>
      </c>
      <c r="U406" s="182">
        <f>Y405</f>
        <v>20000</v>
      </c>
      <c r="V406" s="178">
        <v>5000</v>
      </c>
      <c r="W406" s="182">
        <f t="shared" si="123"/>
        <v>25000</v>
      </c>
      <c r="X406" s="178">
        <v>2000</v>
      </c>
      <c r="Y406" s="182">
        <f t="shared" si="124"/>
        <v>23000</v>
      </c>
      <c r="Z406" s="183"/>
      <c r="AA406" s="158"/>
      <c r="AB406" s="158"/>
      <c r="AC406" s="158"/>
    </row>
    <row r="407" spans="1:29" ht="18" customHeight="1" x14ac:dyDescent="0.2">
      <c r="A407" s="163"/>
      <c r="B407" s="204" t="s">
        <v>114</v>
      </c>
      <c r="C407" s="195">
        <f>IF($J$1="January",R399,IF($J$1="February",R400,IF($J$1="March",R401,IF($J$1="April",R402,IF($J$1="May",R403,IF($J$1="June",R404,IF($J$1="July",R405,IF($J$1="August",R406,IF($J$1="August",R406,IF($J$1="September",R407,IF($J$1="October",R408,IF($J$1="November",R409,IF($J$1="December",R410)))))))))))))</f>
        <v>8</v>
      </c>
      <c r="D407" s="149"/>
      <c r="E407" s="149"/>
      <c r="F407" s="204" t="s">
        <v>115</v>
      </c>
      <c r="G407" s="190">
        <f>IF($J$1="January",Y399,IF($J$1="February",Y400,IF($J$1="March",Y401,IF($J$1="April",Y402,IF($J$1="May",Y403,IF($J$1="June",Y404,IF($J$1="July",Y405,IF($J$1="August",Y406,IF($J$1="August",Y406,IF($J$1="September",Y407,IF($J$1="October",Y408,IF($J$1="November",Y409,IF($J$1="December",Y410)))))))))))))</f>
        <v>21000</v>
      </c>
      <c r="H407" s="149"/>
      <c r="I407" s="529" t="s">
        <v>13</v>
      </c>
      <c r="J407" s="503"/>
      <c r="K407" s="37">
        <f>K405-K406</f>
        <v>40883.333333333328</v>
      </c>
      <c r="L407" s="180"/>
      <c r="M407" s="158"/>
      <c r="N407" s="175"/>
      <c r="O407" s="176" t="s">
        <v>116</v>
      </c>
      <c r="P407" s="176">
        <v>29</v>
      </c>
      <c r="Q407" s="176">
        <v>1</v>
      </c>
      <c r="R407" s="176">
        <f t="shared" si="121"/>
        <v>8</v>
      </c>
      <c r="S407" s="156"/>
      <c r="T407" s="176" t="s">
        <v>116</v>
      </c>
      <c r="U407" s="182">
        <f>Y406</f>
        <v>23000</v>
      </c>
      <c r="V407" s="178"/>
      <c r="W407" s="182">
        <f t="shared" si="123"/>
        <v>23000</v>
      </c>
      <c r="X407" s="178">
        <v>2000</v>
      </c>
      <c r="Y407" s="182">
        <f t="shared" si="124"/>
        <v>21000</v>
      </c>
      <c r="Z407" s="183"/>
      <c r="AA407" s="158"/>
      <c r="AB407" s="158"/>
      <c r="AC407" s="158"/>
    </row>
    <row r="408" spans="1:29" ht="18" customHeight="1" x14ac:dyDescent="0.2">
      <c r="A408" s="163"/>
      <c r="B408" s="149"/>
      <c r="C408" s="149"/>
      <c r="D408" s="149"/>
      <c r="E408" s="149"/>
      <c r="F408" s="149"/>
      <c r="G408" s="149"/>
      <c r="H408" s="149"/>
      <c r="I408" s="530"/>
      <c r="J408" s="531"/>
      <c r="K408" s="151"/>
      <c r="L408" s="186"/>
      <c r="M408" s="158"/>
      <c r="N408" s="175"/>
      <c r="O408" s="176" t="s">
        <v>117</v>
      </c>
      <c r="P408" s="176"/>
      <c r="Q408" s="176"/>
      <c r="R408" s="176" t="str">
        <f t="shared" si="121"/>
        <v/>
      </c>
      <c r="S408" s="156"/>
      <c r="T408" s="176" t="s">
        <v>117</v>
      </c>
      <c r="U408" s="182"/>
      <c r="V408" s="178"/>
      <c r="W408" s="182" t="str">
        <f t="shared" si="123"/>
        <v/>
      </c>
      <c r="X408" s="178"/>
      <c r="Y408" s="182" t="str">
        <f t="shared" si="124"/>
        <v/>
      </c>
      <c r="Z408" s="183"/>
      <c r="AA408" s="158"/>
      <c r="AB408" s="158"/>
      <c r="AC408" s="158"/>
    </row>
    <row r="409" spans="1:29" ht="18" customHeight="1" x14ac:dyDescent="0.3">
      <c r="A409" s="163"/>
      <c r="B409" s="147"/>
      <c r="C409" s="147"/>
      <c r="D409" s="147"/>
      <c r="E409" s="147"/>
      <c r="F409" s="147"/>
      <c r="G409" s="147"/>
      <c r="H409" s="147"/>
      <c r="I409" s="530"/>
      <c r="J409" s="531"/>
      <c r="K409" s="151"/>
      <c r="L409" s="186"/>
      <c r="M409" s="158"/>
      <c r="N409" s="175"/>
      <c r="O409" s="176" t="s">
        <v>118</v>
      </c>
      <c r="P409" s="176"/>
      <c r="Q409" s="176"/>
      <c r="R409" s="176" t="str">
        <f t="shared" si="121"/>
        <v/>
      </c>
      <c r="S409" s="156"/>
      <c r="T409" s="176" t="s">
        <v>118</v>
      </c>
      <c r="U409" s="182"/>
      <c r="V409" s="178"/>
      <c r="W409" s="182" t="str">
        <f t="shared" si="123"/>
        <v/>
      </c>
      <c r="X409" s="178"/>
      <c r="Y409" s="182" t="str">
        <f t="shared" si="124"/>
        <v/>
      </c>
      <c r="Z409" s="183"/>
      <c r="AA409" s="158"/>
      <c r="AB409" s="158"/>
      <c r="AC409" s="158"/>
    </row>
    <row r="410" spans="1:29" ht="18" customHeight="1" thickBot="1" x14ac:dyDescent="0.35">
      <c r="A410" s="197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9"/>
      <c r="M410" s="158"/>
      <c r="N410" s="175"/>
      <c r="O410" s="176" t="s">
        <v>119</v>
      </c>
      <c r="P410" s="176"/>
      <c r="Q410" s="176"/>
      <c r="R410" s="176" t="str">
        <f t="shared" si="121"/>
        <v/>
      </c>
      <c r="S410" s="156"/>
      <c r="T410" s="176" t="s">
        <v>119</v>
      </c>
      <c r="U410" s="182"/>
      <c r="V410" s="178"/>
      <c r="W410" s="182" t="str">
        <f t="shared" si="123"/>
        <v/>
      </c>
      <c r="X410" s="178"/>
      <c r="Y410" s="182" t="str">
        <f t="shared" si="124"/>
        <v/>
      </c>
      <c r="Z410" s="183"/>
      <c r="AA410" s="158"/>
      <c r="AB410" s="158"/>
      <c r="AC410" s="158"/>
    </row>
    <row r="411" spans="1:29" ht="18" customHeight="1" thickBot="1" x14ac:dyDescent="0.25">
      <c r="A411" s="200"/>
      <c r="B411" s="200"/>
      <c r="C411" s="200"/>
      <c r="D411" s="200"/>
      <c r="E411" s="200"/>
      <c r="F411" s="200"/>
      <c r="G411" s="200"/>
      <c r="H411" s="200"/>
      <c r="I411" s="200"/>
      <c r="J411" s="200"/>
      <c r="K411" s="200"/>
      <c r="L411" s="200"/>
      <c r="M411" s="201"/>
      <c r="N411" s="202"/>
      <c r="O411" s="202"/>
      <c r="P411" s="202"/>
      <c r="Q411" s="202"/>
      <c r="R411" s="202"/>
      <c r="S411" s="202"/>
      <c r="T411" s="202"/>
      <c r="U411" s="202"/>
      <c r="V411" s="202"/>
      <c r="W411" s="202"/>
      <c r="X411" s="202"/>
      <c r="Y411" s="202"/>
      <c r="Z411" s="202"/>
      <c r="AA411" s="201"/>
      <c r="AB411" s="201"/>
      <c r="AC411" s="201"/>
    </row>
    <row r="412" spans="1:29" ht="18" customHeight="1" thickBot="1" x14ac:dyDescent="0.25">
      <c r="A412" s="532" t="s">
        <v>87</v>
      </c>
      <c r="B412" s="533"/>
      <c r="C412" s="533"/>
      <c r="D412" s="533"/>
      <c r="E412" s="533"/>
      <c r="F412" s="533"/>
      <c r="G412" s="533"/>
      <c r="H412" s="533"/>
      <c r="I412" s="533"/>
      <c r="J412" s="533"/>
      <c r="K412" s="533"/>
      <c r="L412" s="534"/>
      <c r="M412" s="159"/>
      <c r="N412" s="160"/>
      <c r="O412" s="524" t="s">
        <v>88</v>
      </c>
      <c r="P412" s="525"/>
      <c r="Q412" s="525"/>
      <c r="R412" s="526"/>
      <c r="S412" s="161"/>
      <c r="T412" s="524" t="s">
        <v>89</v>
      </c>
      <c r="U412" s="525"/>
      <c r="V412" s="525"/>
      <c r="W412" s="525"/>
      <c r="X412" s="525"/>
      <c r="Y412" s="526"/>
      <c r="Z412" s="162"/>
      <c r="AA412" s="158"/>
      <c r="AB412" s="158"/>
      <c r="AC412" s="158"/>
    </row>
    <row r="413" spans="1:29" ht="18" customHeight="1" x14ac:dyDescent="0.2">
      <c r="A413" s="163"/>
      <c r="B413" s="149"/>
      <c r="C413" s="535" t="s">
        <v>170</v>
      </c>
      <c r="D413" s="531"/>
      <c r="E413" s="531"/>
      <c r="F413" s="531"/>
      <c r="G413" s="164" t="str">
        <f>$J$1</f>
        <v>September</v>
      </c>
      <c r="H413" s="536">
        <f>$K$1</f>
        <v>2024</v>
      </c>
      <c r="I413" s="531"/>
      <c r="J413" s="149"/>
      <c r="K413" s="165"/>
      <c r="L413" s="166"/>
      <c r="M413" s="167"/>
      <c r="N413" s="168"/>
      <c r="O413" s="169" t="s">
        <v>91</v>
      </c>
      <c r="P413" s="169" t="s">
        <v>92</v>
      </c>
      <c r="Q413" s="169" t="s">
        <v>93</v>
      </c>
      <c r="R413" s="169" t="s">
        <v>94</v>
      </c>
      <c r="S413" s="170"/>
      <c r="T413" s="169" t="s">
        <v>91</v>
      </c>
      <c r="U413" s="169" t="s">
        <v>95</v>
      </c>
      <c r="V413" s="169" t="s">
        <v>9</v>
      </c>
      <c r="W413" s="169" t="s">
        <v>10</v>
      </c>
      <c r="X413" s="169" t="s">
        <v>11</v>
      </c>
      <c r="Y413" s="169" t="s">
        <v>96</v>
      </c>
      <c r="Z413" s="171"/>
      <c r="AA413" s="158"/>
      <c r="AB413" s="158"/>
      <c r="AC413" s="158"/>
    </row>
    <row r="414" spans="1:29" ht="18" customHeight="1" x14ac:dyDescent="0.2">
      <c r="A414" s="163"/>
      <c r="B414" s="149"/>
      <c r="C414" s="149"/>
      <c r="D414" s="172"/>
      <c r="E414" s="172"/>
      <c r="F414" s="172"/>
      <c r="G414" s="172"/>
      <c r="H414" s="172"/>
      <c r="I414" s="149"/>
      <c r="J414" s="173" t="s">
        <v>97</v>
      </c>
      <c r="K414" s="151">
        <f>30000+4000</f>
        <v>34000</v>
      </c>
      <c r="L414" s="174"/>
      <c r="M414" s="158"/>
      <c r="N414" s="175"/>
      <c r="O414" s="176" t="s">
        <v>98</v>
      </c>
      <c r="P414" s="176">
        <v>31</v>
      </c>
      <c r="Q414" s="176">
        <v>0</v>
      </c>
      <c r="R414" s="176">
        <v>0</v>
      </c>
      <c r="S414" s="177"/>
      <c r="T414" s="176" t="s">
        <v>98</v>
      </c>
      <c r="U414" s="178">
        <v>27500</v>
      </c>
      <c r="V414" s="178">
        <v>12000</v>
      </c>
      <c r="W414" s="178">
        <f>V414+U414</f>
        <v>39500</v>
      </c>
      <c r="X414" s="178">
        <v>5000</v>
      </c>
      <c r="Y414" s="178">
        <f>W414-X414</f>
        <v>34500</v>
      </c>
      <c r="Z414" s="171"/>
      <c r="AA414" s="158"/>
      <c r="AB414" s="158"/>
      <c r="AC414" s="158"/>
    </row>
    <row r="415" spans="1:29" ht="18" customHeight="1" x14ac:dyDescent="0.2">
      <c r="A415" s="163"/>
      <c r="B415" s="149" t="s">
        <v>99</v>
      </c>
      <c r="C415" s="148" t="s">
        <v>171</v>
      </c>
      <c r="D415" s="149"/>
      <c r="E415" s="149"/>
      <c r="F415" s="149"/>
      <c r="G415" s="149"/>
      <c r="H415" s="179"/>
      <c r="I415" s="172"/>
      <c r="J415" s="149"/>
      <c r="K415" s="149"/>
      <c r="L415" s="180"/>
      <c r="M415" s="159"/>
      <c r="N415" s="181"/>
      <c r="O415" s="176" t="s">
        <v>100</v>
      </c>
      <c r="P415" s="176">
        <v>25</v>
      </c>
      <c r="Q415" s="176">
        <v>4</v>
      </c>
      <c r="R415" s="176">
        <v>0</v>
      </c>
      <c r="S415" s="156"/>
      <c r="T415" s="176" t="s">
        <v>100</v>
      </c>
      <c r="U415" s="182">
        <f t="shared" ref="U415:U416" si="125">Y414</f>
        <v>34500</v>
      </c>
      <c r="V415" s="178">
        <v>10000</v>
      </c>
      <c r="W415" s="182">
        <f t="shared" ref="W415:W425" si="126">IF(U415="","",U415+V415)</f>
        <v>44500</v>
      </c>
      <c r="X415" s="178">
        <v>10000</v>
      </c>
      <c r="Y415" s="182">
        <f t="shared" ref="Y415:Y425" si="127">IF(W415="","",W415-X415)</f>
        <v>34500</v>
      </c>
      <c r="Z415" s="183"/>
      <c r="AA415" s="158"/>
      <c r="AB415" s="158"/>
      <c r="AC415" s="158"/>
    </row>
    <row r="416" spans="1:29" ht="18" customHeight="1" x14ac:dyDescent="0.2">
      <c r="A416" s="163"/>
      <c r="B416" s="184" t="s">
        <v>101</v>
      </c>
      <c r="C416" s="185"/>
      <c r="D416" s="149"/>
      <c r="E416" s="149"/>
      <c r="F416" s="529" t="s">
        <v>89</v>
      </c>
      <c r="G416" s="503"/>
      <c r="H416" s="149"/>
      <c r="I416" s="529" t="s">
        <v>102</v>
      </c>
      <c r="J416" s="502"/>
      <c r="K416" s="503"/>
      <c r="L416" s="186"/>
      <c r="M416" s="158"/>
      <c r="N416" s="175"/>
      <c r="O416" s="176" t="s">
        <v>103</v>
      </c>
      <c r="P416" s="176">
        <v>25</v>
      </c>
      <c r="Q416" s="176">
        <v>6</v>
      </c>
      <c r="R416" s="176">
        <v>0</v>
      </c>
      <c r="S416" s="156"/>
      <c r="T416" s="176" t="s">
        <v>103</v>
      </c>
      <c r="U416" s="182">
        <f t="shared" si="125"/>
        <v>34500</v>
      </c>
      <c r="V416" s="178"/>
      <c r="W416" s="182">
        <f t="shared" si="126"/>
        <v>34500</v>
      </c>
      <c r="X416" s="178">
        <v>3000</v>
      </c>
      <c r="Y416" s="182">
        <f t="shared" si="127"/>
        <v>31500</v>
      </c>
      <c r="Z416" s="183"/>
      <c r="AA416" s="158"/>
      <c r="AB416" s="158"/>
      <c r="AC416" s="158"/>
    </row>
    <row r="417" spans="1:29" ht="18" customHeight="1" x14ac:dyDescent="0.2">
      <c r="A417" s="163"/>
      <c r="B417" s="149"/>
      <c r="C417" s="149"/>
      <c r="D417" s="149"/>
      <c r="E417" s="149"/>
      <c r="F417" s="149"/>
      <c r="G417" s="149"/>
      <c r="H417" s="187"/>
      <c r="I417" s="149"/>
      <c r="J417" s="149"/>
      <c r="K417" s="149"/>
      <c r="L417" s="188"/>
      <c r="M417" s="158"/>
      <c r="N417" s="175"/>
      <c r="O417" s="176" t="s">
        <v>104</v>
      </c>
      <c r="P417" s="176">
        <v>29</v>
      </c>
      <c r="Q417" s="176">
        <v>1</v>
      </c>
      <c r="R417" s="176">
        <f t="shared" ref="R417:R420" si="128">15-Q417</f>
        <v>14</v>
      </c>
      <c r="S417" s="156"/>
      <c r="T417" s="176" t="s">
        <v>104</v>
      </c>
      <c r="U417" s="182">
        <f>IF($J$1="March","",Y416)</f>
        <v>31500</v>
      </c>
      <c r="V417" s="178"/>
      <c r="W417" s="182">
        <f t="shared" si="126"/>
        <v>31500</v>
      </c>
      <c r="X417" s="178">
        <v>5000</v>
      </c>
      <c r="Y417" s="182">
        <f t="shared" si="127"/>
        <v>26500</v>
      </c>
      <c r="Z417" s="183"/>
      <c r="AA417" s="158"/>
      <c r="AB417" s="158"/>
      <c r="AC417" s="158"/>
    </row>
    <row r="418" spans="1:29" ht="18" customHeight="1" x14ac:dyDescent="0.2">
      <c r="A418" s="163"/>
      <c r="B418" s="527" t="s">
        <v>88</v>
      </c>
      <c r="C418" s="503"/>
      <c r="D418" s="149"/>
      <c r="E418" s="149"/>
      <c r="F418" s="189" t="s">
        <v>105</v>
      </c>
      <c r="G418" s="190">
        <f>IF($J$1="January",U414,IF($J$1="February",U415,IF($J$1="March",U416,IF($J$1="April",U417,IF($J$1="May",U418,IF($J$1="June",U419,IF($J$1="July",U420,IF($J$1="August",U421,IF($J$1="August",U421,IF($J$1="September",U422,IF($J$1="October",U423,IF($J$1="November",U424,IF($J$1="December",U425)))))))))))))</f>
        <v>26500</v>
      </c>
      <c r="H418" s="187"/>
      <c r="I418" s="191">
        <f>IF(C422&gt;0,$K$2,C420)</f>
        <v>30</v>
      </c>
      <c r="J418" s="192" t="s">
        <v>106</v>
      </c>
      <c r="K418" s="193">
        <f>K414/$K$2*I418</f>
        <v>34000</v>
      </c>
      <c r="L418" s="194"/>
      <c r="M418" s="158"/>
      <c r="N418" s="175"/>
      <c r="O418" s="176" t="s">
        <v>107</v>
      </c>
      <c r="P418" s="209">
        <v>26</v>
      </c>
      <c r="Q418" s="209">
        <v>5</v>
      </c>
      <c r="R418" s="176">
        <f t="shared" si="128"/>
        <v>10</v>
      </c>
      <c r="S418" s="156"/>
      <c r="T418" s="176" t="s">
        <v>107</v>
      </c>
      <c r="U418" s="182">
        <f t="shared" ref="U418:U419" si="129">Y417</f>
        <v>26500</v>
      </c>
      <c r="V418" s="178">
        <v>20000</v>
      </c>
      <c r="W418" s="182">
        <f t="shared" si="126"/>
        <v>46500</v>
      </c>
      <c r="X418" s="178">
        <v>5000</v>
      </c>
      <c r="Y418" s="182">
        <f t="shared" si="127"/>
        <v>41500</v>
      </c>
      <c r="Z418" s="183"/>
      <c r="AA418" s="158"/>
      <c r="AB418" s="158"/>
      <c r="AC418" s="158"/>
    </row>
    <row r="419" spans="1:29" ht="18" customHeight="1" x14ac:dyDescent="0.2">
      <c r="A419" s="163"/>
      <c r="B419" s="195"/>
      <c r="C419" s="195"/>
      <c r="D419" s="149"/>
      <c r="E419" s="149"/>
      <c r="F419" s="189" t="s">
        <v>9</v>
      </c>
      <c r="G419" s="190">
        <f>IF($J$1="January",V414,IF($J$1="February",V415,IF($J$1="March",V416,IF($J$1="April",V417,IF($J$1="May",V418,IF($J$1="June",V419,IF($J$1="July",V420,IF($J$1="August",V421,IF($J$1="August",V421,IF($J$1="September",V422,IF($J$1="October",V423,IF($J$1="November",V424,IF($J$1="December",V425)))))))))))))</f>
        <v>5000</v>
      </c>
      <c r="H419" s="187"/>
      <c r="I419" s="191">
        <v>86</v>
      </c>
      <c r="J419" s="192" t="s">
        <v>108</v>
      </c>
      <c r="K419" s="190">
        <f>K414/$K$2/8*I419</f>
        <v>12183.333333333332</v>
      </c>
      <c r="L419" s="196"/>
      <c r="M419" s="158"/>
      <c r="N419" s="175"/>
      <c r="O419" s="176" t="s">
        <v>84</v>
      </c>
      <c r="P419" s="176">
        <v>29</v>
      </c>
      <c r="Q419" s="176">
        <v>1</v>
      </c>
      <c r="R419" s="176">
        <f t="shared" si="128"/>
        <v>14</v>
      </c>
      <c r="S419" s="156"/>
      <c r="T419" s="176" t="s">
        <v>84</v>
      </c>
      <c r="U419" s="182">
        <f t="shared" si="129"/>
        <v>41500</v>
      </c>
      <c r="V419" s="178">
        <v>5000</v>
      </c>
      <c r="W419" s="182">
        <f t="shared" si="126"/>
        <v>46500</v>
      </c>
      <c r="X419" s="178">
        <v>10000</v>
      </c>
      <c r="Y419" s="182">
        <f t="shared" si="127"/>
        <v>36500</v>
      </c>
      <c r="Z419" s="183"/>
      <c r="AA419" s="158"/>
      <c r="AB419" s="158"/>
      <c r="AC419" s="158"/>
    </row>
    <row r="420" spans="1:29" ht="18" customHeight="1" x14ac:dyDescent="0.2">
      <c r="A420" s="163"/>
      <c r="B420" s="189" t="s">
        <v>92</v>
      </c>
      <c r="C420" s="195">
        <f>IF($J$1="January",P414,IF($J$1="February",P415,IF($J$1="March",P416,IF($J$1="April",P417,IF($J$1="May",P418,IF($J$1="June",P419,IF($J$1="July",P420,IF($J$1="August",P421,IF($J$1="August",P421,IF($J$1="September",P422,IF($J$1="October",P423,IF($J$1="November",P424,IF($J$1="December",P425)))))))))))))</f>
        <v>28</v>
      </c>
      <c r="D420" s="149"/>
      <c r="E420" s="149"/>
      <c r="F420" s="189" t="s">
        <v>109</v>
      </c>
      <c r="G420" s="190">
        <f>IF($J$1="January",W414,IF($J$1="February",W415,IF($J$1="March",W416,IF($J$1="April",W417,IF($J$1="May",W418,IF($J$1="June",W419,IF($J$1="July",W420,IF($J$1="August",W421,IF($J$1="August",W421,IF($J$1="September",W422,IF($J$1="October",W423,IF($J$1="November",W424,IF($J$1="December",W425)))))))))))))</f>
        <v>31500</v>
      </c>
      <c r="H420" s="187"/>
      <c r="I420" s="528" t="s">
        <v>110</v>
      </c>
      <c r="J420" s="503"/>
      <c r="K420" s="190">
        <f>K418+K419</f>
        <v>46183.333333333328</v>
      </c>
      <c r="L420" s="196"/>
      <c r="M420" s="158"/>
      <c r="N420" s="175"/>
      <c r="O420" s="176" t="s">
        <v>111</v>
      </c>
      <c r="P420" s="176">
        <v>24</v>
      </c>
      <c r="Q420" s="176">
        <v>7</v>
      </c>
      <c r="R420" s="176">
        <f t="shared" si="128"/>
        <v>8</v>
      </c>
      <c r="S420" s="156"/>
      <c r="T420" s="176" t="s">
        <v>111</v>
      </c>
      <c r="U420" s="182">
        <f>Y419</f>
        <v>36500</v>
      </c>
      <c r="V420" s="178">
        <v>5000</v>
      </c>
      <c r="W420" s="182">
        <f t="shared" si="126"/>
        <v>41500</v>
      </c>
      <c r="X420" s="178">
        <v>10000</v>
      </c>
      <c r="Y420" s="182">
        <f t="shared" si="127"/>
        <v>31500</v>
      </c>
      <c r="Z420" s="183"/>
      <c r="AA420" s="158"/>
      <c r="AB420" s="158"/>
      <c r="AC420" s="158"/>
    </row>
    <row r="421" spans="1:29" ht="18" customHeight="1" x14ac:dyDescent="0.2">
      <c r="A421" s="163"/>
      <c r="B421" s="189" t="s">
        <v>93</v>
      </c>
      <c r="C421" s="195">
        <f>IF($J$1="January",Q414,IF($J$1="February",Q415,IF($J$1="March",Q416,IF($J$1="April",Q417,IF($J$1="May",Q418,IF($J$1="June",Q419,IF($J$1="July",Q420,IF($J$1="August",Q421,IF($J$1="August",Q421,IF($J$1="September",Q422,IF($J$1="October",Q423,IF($J$1="November",Q424,IF($J$1="December",Q425)))))))))))))</f>
        <v>2</v>
      </c>
      <c r="D421" s="149"/>
      <c r="E421" s="149"/>
      <c r="F421" s="189" t="s">
        <v>11</v>
      </c>
      <c r="G421" s="190">
        <f>IF($J$1="January",X414,IF($J$1="February",X415,IF($J$1="March",X416,IF($J$1="April",X417,IF($J$1="May",X418,IF($J$1="June",X419,IF($J$1="July",X420,IF($J$1="August",X421,IF($J$1="August",X421,IF($J$1="September",X422,IF($J$1="October",X423,IF($J$1="November",X424,IF($J$1="December",X425)))))))))))))</f>
        <v>10000</v>
      </c>
      <c r="H421" s="187"/>
      <c r="I421" s="528" t="s">
        <v>112</v>
      </c>
      <c r="J421" s="503"/>
      <c r="K421" s="190">
        <f>G421</f>
        <v>10000</v>
      </c>
      <c r="L421" s="196"/>
      <c r="M421" s="158"/>
      <c r="N421" s="175"/>
      <c r="O421" s="176" t="s">
        <v>113</v>
      </c>
      <c r="P421" s="176">
        <v>26</v>
      </c>
      <c r="Q421" s="176">
        <v>5</v>
      </c>
      <c r="R421" s="176">
        <f>R420-Q421</f>
        <v>3</v>
      </c>
      <c r="S421" s="156"/>
      <c r="T421" s="176" t="s">
        <v>113</v>
      </c>
      <c r="U421" s="182">
        <f>Y420</f>
        <v>31500</v>
      </c>
      <c r="V421" s="178">
        <v>5000</v>
      </c>
      <c r="W421" s="182">
        <f t="shared" si="126"/>
        <v>36500</v>
      </c>
      <c r="X421" s="178">
        <v>10000</v>
      </c>
      <c r="Y421" s="182">
        <f t="shared" si="127"/>
        <v>26500</v>
      </c>
      <c r="Z421" s="183"/>
      <c r="AA421" s="158"/>
      <c r="AB421" s="158"/>
      <c r="AC421" s="206"/>
    </row>
    <row r="422" spans="1:29" ht="18" customHeight="1" x14ac:dyDescent="0.2">
      <c r="A422" s="163"/>
      <c r="B422" s="204" t="s">
        <v>114</v>
      </c>
      <c r="C422" s="195">
        <f>IF($J$1="January",R414,IF($J$1="February",R415,IF($J$1="March",R416,IF($J$1="April",R417,IF($J$1="May",R418,IF($J$1="June",R419,IF($J$1="July",R420,IF($J$1="August",R421,IF($J$1="August",R421,IF($J$1="September",R422,IF($J$1="October",R423,IF($J$1="November",R424,IF($J$1="December",R425)))))))))))))</f>
        <v>1</v>
      </c>
      <c r="D422" s="149"/>
      <c r="E422" s="149"/>
      <c r="F422" s="204" t="s">
        <v>115</v>
      </c>
      <c r="G422" s="190">
        <f>IF($J$1="January",Y414,IF($J$1="February",Y415,IF($J$1="March",Y416,IF($J$1="April",Y417,IF($J$1="May",Y418,IF($J$1="June",Y419,IF($J$1="July",Y420,IF($J$1="August",Y421,IF($J$1="August",Y421,IF($J$1="September",Y422,IF($J$1="October",Y423,IF($J$1="November",Y424,IF($J$1="December",Y425)))))))))))))</f>
        <v>21500</v>
      </c>
      <c r="H422" s="149"/>
      <c r="I422" s="529" t="s">
        <v>13</v>
      </c>
      <c r="J422" s="503"/>
      <c r="K422" s="37">
        <f>K420-K421</f>
        <v>36183.333333333328</v>
      </c>
      <c r="L422" s="180"/>
      <c r="M422" s="158"/>
      <c r="N422" s="175"/>
      <c r="O422" s="176" t="s">
        <v>116</v>
      </c>
      <c r="P422" s="176">
        <v>28</v>
      </c>
      <c r="Q422" s="176">
        <v>2</v>
      </c>
      <c r="R422" s="176">
        <f>R421-Q422</f>
        <v>1</v>
      </c>
      <c r="S422" s="156"/>
      <c r="T422" s="176" t="s">
        <v>116</v>
      </c>
      <c r="U422" s="182">
        <f>Y421</f>
        <v>26500</v>
      </c>
      <c r="V422" s="178">
        <v>5000</v>
      </c>
      <c r="W422" s="182">
        <f t="shared" si="126"/>
        <v>31500</v>
      </c>
      <c r="X422" s="178">
        <v>10000</v>
      </c>
      <c r="Y422" s="182">
        <f t="shared" si="127"/>
        <v>21500</v>
      </c>
      <c r="Z422" s="183"/>
      <c r="AA422" s="158"/>
      <c r="AB422" s="158"/>
      <c r="AC422" s="158"/>
    </row>
    <row r="423" spans="1:29" ht="18" customHeight="1" x14ac:dyDescent="0.2">
      <c r="A423" s="163"/>
      <c r="B423" s="149"/>
      <c r="C423" s="149"/>
      <c r="D423" s="149"/>
      <c r="E423" s="149"/>
      <c r="F423" s="149"/>
      <c r="G423" s="149"/>
      <c r="H423" s="149"/>
      <c r="I423" s="530"/>
      <c r="J423" s="531"/>
      <c r="K423" s="151"/>
      <c r="L423" s="186"/>
      <c r="M423" s="158"/>
      <c r="N423" s="175"/>
      <c r="O423" s="176" t="s">
        <v>117</v>
      </c>
      <c r="P423" s="176"/>
      <c r="Q423" s="176"/>
      <c r="R423" s="176">
        <v>0</v>
      </c>
      <c r="S423" s="156"/>
      <c r="T423" s="176" t="s">
        <v>117</v>
      </c>
      <c r="U423" s="182"/>
      <c r="V423" s="178"/>
      <c r="W423" s="182" t="str">
        <f t="shared" si="126"/>
        <v/>
      </c>
      <c r="X423" s="178"/>
      <c r="Y423" s="182" t="str">
        <f t="shared" si="127"/>
        <v/>
      </c>
      <c r="Z423" s="183"/>
      <c r="AA423" s="158"/>
      <c r="AB423" s="158"/>
      <c r="AC423" s="158"/>
    </row>
    <row r="424" spans="1:29" ht="18" customHeight="1" x14ac:dyDescent="0.3">
      <c r="A424" s="163"/>
      <c r="B424" s="147"/>
      <c r="C424" s="147"/>
      <c r="D424" s="147"/>
      <c r="E424" s="147"/>
      <c r="F424" s="147"/>
      <c r="G424" s="147"/>
      <c r="H424" s="147"/>
      <c r="I424" s="530"/>
      <c r="J424" s="531"/>
      <c r="K424" s="151"/>
      <c r="L424" s="186"/>
      <c r="M424" s="158"/>
      <c r="N424" s="175"/>
      <c r="O424" s="176" t="s">
        <v>118</v>
      </c>
      <c r="P424" s="176"/>
      <c r="Q424" s="176"/>
      <c r="R424" s="176">
        <v>0</v>
      </c>
      <c r="S424" s="156"/>
      <c r="T424" s="176" t="s">
        <v>118</v>
      </c>
      <c r="U424" s="182"/>
      <c r="V424" s="178"/>
      <c r="W424" s="182" t="str">
        <f t="shared" si="126"/>
        <v/>
      </c>
      <c r="X424" s="178"/>
      <c r="Y424" s="182" t="str">
        <f t="shared" si="127"/>
        <v/>
      </c>
      <c r="Z424" s="183"/>
      <c r="AA424" s="158"/>
      <c r="AB424" s="158"/>
      <c r="AC424" s="158"/>
    </row>
    <row r="425" spans="1:29" ht="18" customHeight="1" thickBot="1" x14ac:dyDescent="0.35">
      <c r="A425" s="197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9"/>
      <c r="M425" s="158"/>
      <c r="N425" s="175"/>
      <c r="O425" s="176" t="s">
        <v>119</v>
      </c>
      <c r="P425" s="176"/>
      <c r="Q425" s="176"/>
      <c r="R425" s="176">
        <v>0</v>
      </c>
      <c r="S425" s="156"/>
      <c r="T425" s="176" t="s">
        <v>119</v>
      </c>
      <c r="U425" s="182"/>
      <c r="V425" s="178"/>
      <c r="W425" s="182" t="str">
        <f t="shared" si="126"/>
        <v/>
      </c>
      <c r="X425" s="178"/>
      <c r="Y425" s="182" t="str">
        <f t="shared" si="127"/>
        <v/>
      </c>
      <c r="Z425" s="183"/>
      <c r="AA425" s="158"/>
      <c r="AB425" s="158"/>
      <c r="AC425" s="158"/>
    </row>
    <row r="426" spans="1:29" ht="18" customHeight="1" thickBot="1" x14ac:dyDescent="0.25">
      <c r="A426" s="200"/>
      <c r="B426" s="200"/>
      <c r="C426" s="200"/>
      <c r="D426" s="200"/>
      <c r="E426" s="200"/>
      <c r="F426" s="200"/>
      <c r="G426" s="200"/>
      <c r="H426" s="200"/>
      <c r="I426" s="200"/>
      <c r="J426" s="200"/>
      <c r="K426" s="200"/>
      <c r="L426" s="200"/>
      <c r="M426" s="201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1"/>
      <c r="AB426" s="201"/>
      <c r="AC426" s="201"/>
    </row>
    <row r="427" spans="1:29" ht="18" customHeight="1" thickBot="1" x14ac:dyDescent="0.25">
      <c r="A427" s="532" t="s">
        <v>87</v>
      </c>
      <c r="B427" s="533"/>
      <c r="C427" s="533"/>
      <c r="D427" s="533"/>
      <c r="E427" s="533"/>
      <c r="F427" s="533"/>
      <c r="G427" s="533"/>
      <c r="H427" s="533"/>
      <c r="I427" s="533"/>
      <c r="J427" s="533"/>
      <c r="K427" s="533"/>
      <c r="L427" s="534"/>
      <c r="M427" s="159"/>
      <c r="N427" s="160"/>
      <c r="O427" s="524" t="s">
        <v>88</v>
      </c>
      <c r="P427" s="525"/>
      <c r="Q427" s="525"/>
      <c r="R427" s="526"/>
      <c r="S427" s="161"/>
      <c r="T427" s="524" t="s">
        <v>89</v>
      </c>
      <c r="U427" s="525"/>
      <c r="V427" s="525"/>
      <c r="W427" s="525"/>
      <c r="X427" s="525"/>
      <c r="Y427" s="526"/>
      <c r="Z427" s="162"/>
      <c r="AA427" s="159"/>
      <c r="AB427" s="158"/>
      <c r="AC427" s="158"/>
    </row>
    <row r="428" spans="1:29" ht="18" customHeight="1" x14ac:dyDescent="0.2">
      <c r="A428" s="163"/>
      <c r="B428" s="149"/>
      <c r="C428" s="535" t="s">
        <v>172</v>
      </c>
      <c r="D428" s="531"/>
      <c r="E428" s="531"/>
      <c r="F428" s="531"/>
      <c r="G428" s="164" t="str">
        <f>$J$1</f>
        <v>September</v>
      </c>
      <c r="H428" s="536">
        <f>$K$1</f>
        <v>2024</v>
      </c>
      <c r="I428" s="531"/>
      <c r="J428" s="149"/>
      <c r="K428" s="165"/>
      <c r="L428" s="166"/>
      <c r="M428" s="167"/>
      <c r="N428" s="168"/>
      <c r="O428" s="169" t="s">
        <v>91</v>
      </c>
      <c r="P428" s="169" t="s">
        <v>92</v>
      </c>
      <c r="Q428" s="169" t="s">
        <v>93</v>
      </c>
      <c r="R428" s="169" t="s">
        <v>94</v>
      </c>
      <c r="S428" s="170"/>
      <c r="T428" s="169" t="s">
        <v>91</v>
      </c>
      <c r="U428" s="169" t="s">
        <v>95</v>
      </c>
      <c r="V428" s="169" t="s">
        <v>9</v>
      </c>
      <c r="W428" s="169" t="s">
        <v>10</v>
      </c>
      <c r="X428" s="169" t="s">
        <v>11</v>
      </c>
      <c r="Y428" s="169" t="s">
        <v>96</v>
      </c>
      <c r="Z428" s="171"/>
      <c r="AA428" s="167"/>
      <c r="AB428" s="158"/>
      <c r="AC428" s="158"/>
    </row>
    <row r="429" spans="1:29" ht="18" customHeight="1" x14ac:dyDescent="0.2">
      <c r="A429" s="163"/>
      <c r="B429" s="149"/>
      <c r="C429" s="149"/>
      <c r="D429" s="172"/>
      <c r="E429" s="172"/>
      <c r="F429" s="172"/>
      <c r="G429" s="172"/>
      <c r="H429" s="172"/>
      <c r="I429" s="149"/>
      <c r="J429" s="173" t="s">
        <v>97</v>
      </c>
      <c r="K429" s="151">
        <f>20000+2500+2000+2000+3500</f>
        <v>30000</v>
      </c>
      <c r="L429" s="174"/>
      <c r="M429" s="158"/>
      <c r="N429" s="175"/>
      <c r="O429" s="176" t="s">
        <v>98</v>
      </c>
      <c r="P429" s="176">
        <v>31</v>
      </c>
      <c r="Q429" s="176">
        <v>0</v>
      </c>
      <c r="R429" s="176">
        <v>0</v>
      </c>
      <c r="S429" s="177"/>
      <c r="T429" s="176" t="s">
        <v>98</v>
      </c>
      <c r="U429" s="178"/>
      <c r="V429" s="178"/>
      <c r="W429" s="178">
        <f>V429+U429</f>
        <v>0</v>
      </c>
      <c r="X429" s="178"/>
      <c r="Y429" s="178">
        <f>W429-X429</f>
        <v>0</v>
      </c>
      <c r="Z429" s="171"/>
      <c r="AA429" s="158"/>
      <c r="AB429" s="158"/>
      <c r="AC429" s="158"/>
    </row>
    <row r="430" spans="1:29" ht="18" customHeight="1" x14ac:dyDescent="0.2">
      <c r="A430" s="163"/>
      <c r="B430" s="149" t="s">
        <v>99</v>
      </c>
      <c r="C430" s="148" t="s">
        <v>173</v>
      </c>
      <c r="D430" s="149"/>
      <c r="E430" s="149"/>
      <c r="F430" s="149"/>
      <c r="G430" s="149"/>
      <c r="H430" s="179"/>
      <c r="I430" s="172"/>
      <c r="J430" s="149"/>
      <c r="K430" s="149"/>
      <c r="L430" s="180"/>
      <c r="M430" s="159"/>
      <c r="N430" s="181"/>
      <c r="O430" s="176" t="s">
        <v>100</v>
      </c>
      <c r="P430" s="176">
        <v>29</v>
      </c>
      <c r="Q430" s="176">
        <v>0</v>
      </c>
      <c r="R430" s="176">
        <f>IF(Q430="","",R429-Q430)</f>
        <v>0</v>
      </c>
      <c r="S430" s="156"/>
      <c r="T430" s="176" t="s">
        <v>100</v>
      </c>
      <c r="U430" s="182">
        <f>IF($J$1="January","",Y429)</f>
        <v>0</v>
      </c>
      <c r="V430" s="178"/>
      <c r="W430" s="182">
        <f t="shared" ref="W430:W440" si="130">IF(U430="","",U430+V430)</f>
        <v>0</v>
      </c>
      <c r="X430" s="178"/>
      <c r="Y430" s="182">
        <f t="shared" ref="Y430:Y440" si="131">IF(W430="","",W430-X430)</f>
        <v>0</v>
      </c>
      <c r="Z430" s="183"/>
      <c r="AA430" s="159"/>
      <c r="AB430" s="158"/>
      <c r="AC430" s="158"/>
    </row>
    <row r="431" spans="1:29" ht="18" customHeight="1" x14ac:dyDescent="0.2">
      <c r="A431" s="163"/>
      <c r="B431" s="184" t="s">
        <v>101</v>
      </c>
      <c r="C431" s="185"/>
      <c r="D431" s="149"/>
      <c r="E431" s="149"/>
      <c r="F431" s="529" t="s">
        <v>89</v>
      </c>
      <c r="G431" s="503"/>
      <c r="H431" s="149"/>
      <c r="I431" s="529" t="s">
        <v>102</v>
      </c>
      <c r="J431" s="502"/>
      <c r="K431" s="503"/>
      <c r="L431" s="186"/>
      <c r="M431" s="158"/>
      <c r="N431" s="175"/>
      <c r="O431" s="176" t="s">
        <v>103</v>
      </c>
      <c r="P431" s="176">
        <v>31</v>
      </c>
      <c r="Q431" s="176">
        <v>0</v>
      </c>
      <c r="R431" s="176">
        <v>0</v>
      </c>
      <c r="S431" s="156"/>
      <c r="T431" s="176" t="s">
        <v>103</v>
      </c>
      <c r="U431" s="182">
        <f>IF($J$1="February","",Y430)</f>
        <v>0</v>
      </c>
      <c r="V431" s="178"/>
      <c r="W431" s="182">
        <f t="shared" si="130"/>
        <v>0</v>
      </c>
      <c r="X431" s="178"/>
      <c r="Y431" s="182">
        <f t="shared" si="131"/>
        <v>0</v>
      </c>
      <c r="Z431" s="183"/>
      <c r="AA431" s="158"/>
      <c r="AB431" s="158"/>
      <c r="AC431" s="158"/>
    </row>
    <row r="432" spans="1:29" ht="18" customHeight="1" x14ac:dyDescent="0.2">
      <c r="A432" s="163"/>
      <c r="B432" s="149"/>
      <c r="C432" s="149"/>
      <c r="D432" s="149"/>
      <c r="E432" s="149"/>
      <c r="F432" s="149"/>
      <c r="G432" s="149"/>
      <c r="H432" s="187"/>
      <c r="I432" s="149"/>
      <c r="J432" s="149"/>
      <c r="K432" s="149"/>
      <c r="L432" s="188"/>
      <c r="M432" s="158"/>
      <c r="N432" s="175"/>
      <c r="O432" s="176" t="s">
        <v>104</v>
      </c>
      <c r="P432" s="176">
        <v>30</v>
      </c>
      <c r="Q432" s="176">
        <v>0</v>
      </c>
      <c r="R432" s="176">
        <v>0</v>
      </c>
      <c r="S432" s="156"/>
      <c r="T432" s="176" t="s">
        <v>104</v>
      </c>
      <c r="U432" s="182">
        <f>IF($J$1="March","",Y431)</f>
        <v>0</v>
      </c>
      <c r="V432" s="178"/>
      <c r="W432" s="182">
        <f t="shared" si="130"/>
        <v>0</v>
      </c>
      <c r="X432" s="178"/>
      <c r="Y432" s="182">
        <f t="shared" si="131"/>
        <v>0</v>
      </c>
      <c r="Z432" s="183"/>
      <c r="AA432" s="158"/>
      <c r="AB432" s="158"/>
      <c r="AC432" s="158"/>
    </row>
    <row r="433" spans="1:29" ht="18" customHeight="1" x14ac:dyDescent="0.2">
      <c r="A433" s="163"/>
      <c r="B433" s="527" t="s">
        <v>88</v>
      </c>
      <c r="C433" s="503"/>
      <c r="D433" s="149"/>
      <c r="E433" s="149"/>
      <c r="F433" s="189" t="s">
        <v>105</v>
      </c>
      <c r="G433" s="190">
        <f>IF($J$1="January",U429,IF($J$1="February",U430,IF($J$1="March",U431,IF($J$1="April",U432,IF($J$1="May",U433,IF($J$1="June",U434,IF($J$1="July",U435,IF($J$1="August",U436,IF($J$1="August",U436,IF($J$1="September",U437,IF($J$1="October",U438,IF($J$1="November",U439,IF($J$1="December",U440)))))))))))))</f>
        <v>0</v>
      </c>
      <c r="H433" s="187"/>
      <c r="I433" s="191">
        <f>IF(C437&gt;=C436,$K$2,C435+C437)</f>
        <v>30</v>
      </c>
      <c r="J433" s="192" t="s">
        <v>106</v>
      </c>
      <c r="K433" s="193">
        <f>K429/$K$2*I433</f>
        <v>30000</v>
      </c>
      <c r="L433" s="194"/>
      <c r="M433" s="158"/>
      <c r="N433" s="175"/>
      <c r="O433" s="176" t="s">
        <v>107</v>
      </c>
      <c r="P433" s="176">
        <v>31</v>
      </c>
      <c r="Q433" s="176">
        <v>0</v>
      </c>
      <c r="R433" s="176">
        <v>0</v>
      </c>
      <c r="S433" s="156"/>
      <c r="T433" s="176" t="s">
        <v>107</v>
      </c>
      <c r="U433" s="182">
        <f>IF($J$1="April","",Y432)</f>
        <v>0</v>
      </c>
      <c r="V433" s="178"/>
      <c r="W433" s="182">
        <f t="shared" si="130"/>
        <v>0</v>
      </c>
      <c r="X433" s="178"/>
      <c r="Y433" s="182">
        <f t="shared" si="131"/>
        <v>0</v>
      </c>
      <c r="Z433" s="183"/>
      <c r="AA433" s="158"/>
      <c r="AB433" s="158"/>
      <c r="AC433" s="158"/>
    </row>
    <row r="434" spans="1:29" ht="18" customHeight="1" x14ac:dyDescent="0.2">
      <c r="A434" s="163"/>
      <c r="B434" s="195"/>
      <c r="C434" s="195"/>
      <c r="D434" s="149"/>
      <c r="E434" s="149"/>
      <c r="F434" s="189" t="s">
        <v>9</v>
      </c>
      <c r="G434" s="190">
        <f>IF($J$1="January",V429,IF($J$1="February",V430,IF($J$1="March",V431,IF($J$1="April",V432,IF($J$1="May",V433,IF($J$1="June",V434,IF($J$1="July",V435,IF($J$1="August",V436,IF($J$1="August",V436,IF($J$1="September",V437,IF($J$1="October",V438,IF($J$1="November",V439,IF($J$1="December",V440)))))))))))))</f>
        <v>0</v>
      </c>
      <c r="H434" s="187"/>
      <c r="I434" s="191">
        <v>49</v>
      </c>
      <c r="J434" s="192" t="s">
        <v>108</v>
      </c>
      <c r="K434" s="190">
        <f>K429/$K$2/8*I434</f>
        <v>6125</v>
      </c>
      <c r="L434" s="196"/>
      <c r="M434" s="158"/>
      <c r="N434" s="175"/>
      <c r="O434" s="176" t="s">
        <v>84</v>
      </c>
      <c r="P434" s="176">
        <v>30</v>
      </c>
      <c r="Q434" s="176">
        <v>0</v>
      </c>
      <c r="R434" s="176">
        <v>0</v>
      </c>
      <c r="S434" s="156"/>
      <c r="T434" s="176" t="s">
        <v>84</v>
      </c>
      <c r="U434" s="182">
        <f>IF($J$1="May","",Y433)</f>
        <v>0</v>
      </c>
      <c r="V434" s="178"/>
      <c r="W434" s="182">
        <f t="shared" si="130"/>
        <v>0</v>
      </c>
      <c r="X434" s="178"/>
      <c r="Y434" s="182">
        <f t="shared" si="131"/>
        <v>0</v>
      </c>
      <c r="Z434" s="183"/>
      <c r="AA434" s="158"/>
      <c r="AB434" s="158"/>
      <c r="AC434" s="158"/>
    </row>
    <row r="435" spans="1:29" ht="18" customHeight="1" x14ac:dyDescent="0.2">
      <c r="A435" s="163"/>
      <c r="B435" s="189" t="s">
        <v>92</v>
      </c>
      <c r="C435" s="195">
        <f>IF($J$1="January",P429,IF($J$1="February",P430,IF($J$1="March",P431,IF($J$1="April",P432,IF($J$1="May",P433,IF($J$1="June",P434,IF($J$1="July",P435,IF($J$1="August",P436,IF($J$1="August",P436,IF($J$1="September",P437,IF($J$1="October",P438,IF($J$1="November",P439,IF($J$1="December",P440)))))))))))))</f>
        <v>30</v>
      </c>
      <c r="D435" s="149"/>
      <c r="E435" s="149"/>
      <c r="F435" s="189" t="s">
        <v>109</v>
      </c>
      <c r="G435" s="190">
        <f>IF($J$1="January",W429,IF($J$1="February",W430,IF($J$1="March",W431,IF($J$1="April",W432,IF($J$1="May",W433,IF($J$1="June",W434,IF($J$1="July",W435,IF($J$1="August",W436,IF($J$1="August",W436,IF($J$1="September",W437,IF($J$1="October",W438,IF($J$1="November",W439,IF($J$1="December",W440)))))))))))))</f>
        <v>0</v>
      </c>
      <c r="H435" s="187"/>
      <c r="I435" s="528" t="s">
        <v>110</v>
      </c>
      <c r="J435" s="503"/>
      <c r="K435" s="190">
        <f>K433+K434</f>
        <v>36125</v>
      </c>
      <c r="L435" s="196"/>
      <c r="M435" s="158"/>
      <c r="N435" s="175"/>
      <c r="O435" s="176" t="s">
        <v>111</v>
      </c>
      <c r="P435" s="176">
        <v>31</v>
      </c>
      <c r="Q435" s="176">
        <v>0</v>
      </c>
      <c r="R435" s="176">
        <v>0</v>
      </c>
      <c r="S435" s="156"/>
      <c r="T435" s="176" t="s">
        <v>111</v>
      </c>
      <c r="U435" s="182">
        <f>IF($J$1="June","",Y434)</f>
        <v>0</v>
      </c>
      <c r="V435" s="178"/>
      <c r="W435" s="182">
        <f t="shared" si="130"/>
        <v>0</v>
      </c>
      <c r="X435" s="178"/>
      <c r="Y435" s="182">
        <f t="shared" si="131"/>
        <v>0</v>
      </c>
      <c r="Z435" s="183"/>
      <c r="AA435" s="158"/>
      <c r="AB435" s="158"/>
      <c r="AC435" s="158"/>
    </row>
    <row r="436" spans="1:29" ht="18" customHeight="1" x14ac:dyDescent="0.2">
      <c r="A436" s="163"/>
      <c r="B436" s="189" t="s">
        <v>93</v>
      </c>
      <c r="C436" s="195">
        <f>IF($J$1="January",Q429,IF($J$1="February",Q430,IF($J$1="March",Q431,IF($J$1="April",Q432,IF($J$1="May",Q433,IF($J$1="June",Q434,IF($J$1="July",Q435,IF($J$1="August",Q436,IF($J$1="August",Q436,IF($J$1="September",Q437,IF($J$1="October",Q438,IF($J$1="November",Q439,IF($J$1="December",Q440)))))))))))))</f>
        <v>0</v>
      </c>
      <c r="D436" s="149"/>
      <c r="E436" s="149"/>
      <c r="F436" s="189" t="s">
        <v>11</v>
      </c>
      <c r="G436" s="190">
        <f>IF($J$1="January",X429,IF($J$1="February",X430,IF($J$1="March",X431,IF($J$1="April",X432,IF($J$1="May",X433,IF($J$1="June",X434,IF($J$1="July",X435,IF($J$1="August",X436,IF($J$1="August",X436,IF($J$1="September",X437,IF($J$1="October",X438,IF($J$1="November",X439,IF($J$1="December",X440)))))))))))))</f>
        <v>0</v>
      </c>
      <c r="H436" s="187"/>
      <c r="I436" s="528" t="s">
        <v>112</v>
      </c>
      <c r="J436" s="503"/>
      <c r="K436" s="190">
        <f>G436</f>
        <v>0</v>
      </c>
      <c r="L436" s="196"/>
      <c r="M436" s="158"/>
      <c r="N436" s="175"/>
      <c r="O436" s="176" t="s">
        <v>113</v>
      </c>
      <c r="P436" s="176">
        <v>31</v>
      </c>
      <c r="Q436" s="176">
        <v>0</v>
      </c>
      <c r="R436" s="176">
        <v>0</v>
      </c>
      <c r="S436" s="156"/>
      <c r="T436" s="176" t="s">
        <v>113</v>
      </c>
      <c r="U436" s="182">
        <f>IF($J$1="July","",Y435)</f>
        <v>0</v>
      </c>
      <c r="V436" s="178"/>
      <c r="W436" s="182">
        <f t="shared" si="130"/>
        <v>0</v>
      </c>
      <c r="X436" s="178"/>
      <c r="Y436" s="182">
        <f t="shared" si="131"/>
        <v>0</v>
      </c>
      <c r="Z436" s="183"/>
      <c r="AA436" s="158"/>
      <c r="AB436" s="158"/>
      <c r="AC436" s="158"/>
    </row>
    <row r="437" spans="1:29" ht="18" customHeight="1" x14ac:dyDescent="0.2">
      <c r="A437" s="163"/>
      <c r="B437" s="204" t="s">
        <v>114</v>
      </c>
      <c r="C437" s="195">
        <f>IF($J$1="January",R429,IF($J$1="February",R430,IF($J$1="March",R431,IF($J$1="April",R432,IF($J$1="May",R433,IF($J$1="June",R434,IF($J$1="July",R435,IF($J$1="August",R436,IF($J$1="August",R436,IF($J$1="September",R437,IF($J$1="October",R438,IF($J$1="November",R439,IF($J$1="December",R440)))))))))))))</f>
        <v>0</v>
      </c>
      <c r="D437" s="149"/>
      <c r="E437" s="149"/>
      <c r="F437" s="204" t="s">
        <v>115</v>
      </c>
      <c r="G437" s="190">
        <f>IF($J$1="January",Y429,IF($J$1="February",Y430,IF($J$1="March",Y431,IF($J$1="April",Y432,IF($J$1="May",Y433,IF($J$1="June",Y434,IF($J$1="July",Y435,IF($J$1="August",Y436,IF($J$1="August",Y436,IF($J$1="September",Y437,IF($J$1="October",Y438,IF($J$1="November",Y439,IF($J$1="December",Y440)))))))))))))</f>
        <v>0</v>
      </c>
      <c r="H437" s="149"/>
      <c r="I437" s="529" t="s">
        <v>13</v>
      </c>
      <c r="J437" s="503"/>
      <c r="K437" s="37">
        <f>K435-K436</f>
        <v>36125</v>
      </c>
      <c r="L437" s="180"/>
      <c r="M437" s="158"/>
      <c r="N437" s="175"/>
      <c r="O437" s="176" t="s">
        <v>116</v>
      </c>
      <c r="P437" s="176">
        <v>30</v>
      </c>
      <c r="Q437" s="176">
        <v>0</v>
      </c>
      <c r="R437" s="176">
        <v>0</v>
      </c>
      <c r="S437" s="156"/>
      <c r="T437" s="176" t="s">
        <v>116</v>
      </c>
      <c r="U437" s="182">
        <f>IF($J$1="September",Y436,"")</f>
        <v>0</v>
      </c>
      <c r="V437" s="178"/>
      <c r="W437" s="182">
        <f t="shared" si="130"/>
        <v>0</v>
      </c>
      <c r="X437" s="178"/>
      <c r="Y437" s="182">
        <f t="shared" si="131"/>
        <v>0</v>
      </c>
      <c r="Z437" s="183"/>
      <c r="AA437" s="158"/>
      <c r="AB437" s="158"/>
      <c r="AC437" s="158"/>
    </row>
    <row r="438" spans="1:29" ht="18" customHeight="1" x14ac:dyDescent="0.2">
      <c r="A438" s="163"/>
      <c r="B438" s="149"/>
      <c r="C438" s="149"/>
      <c r="D438" s="149"/>
      <c r="E438" s="149"/>
      <c r="F438" s="149"/>
      <c r="G438" s="149"/>
      <c r="H438" s="149"/>
      <c r="I438" s="530"/>
      <c r="J438" s="531"/>
      <c r="K438" s="151"/>
      <c r="L438" s="186"/>
      <c r="M438" s="158"/>
      <c r="N438" s="175"/>
      <c r="O438" s="176" t="s">
        <v>117</v>
      </c>
      <c r="P438" s="176"/>
      <c r="Q438" s="176"/>
      <c r="R438" s="176">
        <v>0</v>
      </c>
      <c r="S438" s="156"/>
      <c r="T438" s="176" t="s">
        <v>117</v>
      </c>
      <c r="U438" s="182">
        <f t="shared" ref="U438:U439" si="132">Y437</f>
        <v>0</v>
      </c>
      <c r="V438" s="178"/>
      <c r="W438" s="182">
        <f t="shared" si="130"/>
        <v>0</v>
      </c>
      <c r="X438" s="178"/>
      <c r="Y438" s="182">
        <f t="shared" si="131"/>
        <v>0</v>
      </c>
      <c r="Z438" s="183"/>
      <c r="AA438" s="158"/>
      <c r="AB438" s="158"/>
      <c r="AC438" s="158"/>
    </row>
    <row r="439" spans="1:29" ht="18" customHeight="1" x14ac:dyDescent="0.3">
      <c r="A439" s="163"/>
      <c r="B439" s="147"/>
      <c r="C439" s="147"/>
      <c r="D439" s="147"/>
      <c r="E439" s="147"/>
      <c r="F439" s="147"/>
      <c r="G439" s="147"/>
      <c r="H439" s="147"/>
      <c r="I439" s="530"/>
      <c r="J439" s="531"/>
      <c r="K439" s="151"/>
      <c r="L439" s="186"/>
      <c r="M439" s="158"/>
      <c r="N439" s="175"/>
      <c r="O439" s="176" t="s">
        <v>118</v>
      </c>
      <c r="P439" s="176"/>
      <c r="Q439" s="176"/>
      <c r="R439" s="176" t="str">
        <f t="shared" ref="R439:R440" si="133">IF(Q439="","",R438-Q439)</f>
        <v/>
      </c>
      <c r="S439" s="156"/>
      <c r="T439" s="176" t="s">
        <v>118</v>
      </c>
      <c r="U439" s="182">
        <f t="shared" si="132"/>
        <v>0</v>
      </c>
      <c r="V439" s="178"/>
      <c r="W439" s="182">
        <f t="shared" si="130"/>
        <v>0</v>
      </c>
      <c r="X439" s="178"/>
      <c r="Y439" s="182">
        <f t="shared" si="131"/>
        <v>0</v>
      </c>
      <c r="Z439" s="183"/>
      <c r="AA439" s="158"/>
      <c r="AB439" s="158"/>
      <c r="AC439" s="158"/>
    </row>
    <row r="440" spans="1:29" ht="18" customHeight="1" thickBot="1" x14ac:dyDescent="0.35">
      <c r="A440" s="197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9"/>
      <c r="M440" s="158"/>
      <c r="N440" s="175"/>
      <c r="O440" s="176" t="s">
        <v>119</v>
      </c>
      <c r="P440" s="176"/>
      <c r="Q440" s="176"/>
      <c r="R440" s="176" t="str">
        <f t="shared" si="133"/>
        <v/>
      </c>
      <c r="S440" s="156"/>
      <c r="T440" s="176" t="s">
        <v>119</v>
      </c>
      <c r="U440" s="182">
        <v>0</v>
      </c>
      <c r="V440" s="178"/>
      <c r="W440" s="182">
        <f t="shared" si="130"/>
        <v>0</v>
      </c>
      <c r="X440" s="178"/>
      <c r="Y440" s="182">
        <f t="shared" si="131"/>
        <v>0</v>
      </c>
      <c r="Z440" s="183"/>
      <c r="AA440" s="158"/>
      <c r="AB440" s="158"/>
      <c r="AC440" s="158"/>
    </row>
    <row r="441" spans="1:29" ht="18" customHeight="1" thickBot="1" x14ac:dyDescent="0.25">
      <c r="A441" s="200"/>
      <c r="B441" s="200"/>
      <c r="C441" s="200"/>
      <c r="D441" s="200"/>
      <c r="E441" s="200"/>
      <c r="F441" s="200"/>
      <c r="G441" s="200"/>
      <c r="H441" s="200"/>
      <c r="I441" s="200"/>
      <c r="J441" s="200"/>
      <c r="K441" s="200"/>
      <c r="L441" s="200"/>
      <c r="M441" s="201"/>
      <c r="N441" s="202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1"/>
      <c r="AB441" s="201"/>
      <c r="AC441" s="201"/>
    </row>
    <row r="442" spans="1:29" ht="18" customHeight="1" thickBot="1" x14ac:dyDescent="0.25">
      <c r="A442" s="532" t="s">
        <v>87</v>
      </c>
      <c r="B442" s="533"/>
      <c r="C442" s="533"/>
      <c r="D442" s="533"/>
      <c r="E442" s="533"/>
      <c r="F442" s="533"/>
      <c r="G442" s="533"/>
      <c r="H442" s="533"/>
      <c r="I442" s="533"/>
      <c r="J442" s="533"/>
      <c r="K442" s="533"/>
      <c r="L442" s="534"/>
      <c r="M442" s="159"/>
      <c r="N442" s="160"/>
      <c r="O442" s="524" t="s">
        <v>88</v>
      </c>
      <c r="P442" s="525"/>
      <c r="Q442" s="525"/>
      <c r="R442" s="526"/>
      <c r="S442" s="161"/>
      <c r="T442" s="524" t="s">
        <v>89</v>
      </c>
      <c r="U442" s="525"/>
      <c r="V442" s="525"/>
      <c r="W442" s="525"/>
      <c r="X442" s="525"/>
      <c r="Y442" s="526"/>
      <c r="Z442" s="162"/>
      <c r="AA442" s="158"/>
      <c r="AB442" s="158"/>
      <c r="AC442" s="158"/>
    </row>
    <row r="443" spans="1:29" ht="18" customHeight="1" x14ac:dyDescent="0.2">
      <c r="A443" s="163"/>
      <c r="B443" s="149"/>
      <c r="C443" s="535" t="s">
        <v>174</v>
      </c>
      <c r="D443" s="531"/>
      <c r="E443" s="531"/>
      <c r="F443" s="531"/>
      <c r="G443" s="164" t="str">
        <f>$J$1</f>
        <v>September</v>
      </c>
      <c r="H443" s="536">
        <f>$K$1</f>
        <v>2024</v>
      </c>
      <c r="I443" s="531"/>
      <c r="J443" s="149"/>
      <c r="K443" s="165"/>
      <c r="L443" s="166"/>
      <c r="M443" s="167"/>
      <c r="N443" s="168"/>
      <c r="O443" s="169" t="s">
        <v>91</v>
      </c>
      <c r="P443" s="169" t="s">
        <v>92</v>
      </c>
      <c r="Q443" s="169" t="s">
        <v>93</v>
      </c>
      <c r="R443" s="169" t="s">
        <v>94</v>
      </c>
      <c r="S443" s="170"/>
      <c r="T443" s="169" t="s">
        <v>91</v>
      </c>
      <c r="U443" s="169" t="s">
        <v>95</v>
      </c>
      <c r="V443" s="169" t="s">
        <v>9</v>
      </c>
      <c r="W443" s="169" t="s">
        <v>10</v>
      </c>
      <c r="X443" s="169" t="s">
        <v>11</v>
      </c>
      <c r="Y443" s="169" t="s">
        <v>96</v>
      </c>
      <c r="Z443" s="171"/>
      <c r="AA443" s="158"/>
      <c r="AB443" s="158"/>
      <c r="AC443" s="158"/>
    </row>
    <row r="444" spans="1:29" ht="18" customHeight="1" x14ac:dyDescent="0.2">
      <c r="A444" s="163"/>
      <c r="B444" s="149"/>
      <c r="C444" s="149"/>
      <c r="D444" s="172"/>
      <c r="E444" s="172"/>
      <c r="F444" s="172"/>
      <c r="G444" s="172"/>
      <c r="H444" s="172"/>
      <c r="I444" s="149"/>
      <c r="J444" s="173" t="s">
        <v>97</v>
      </c>
      <c r="K444" s="151">
        <f>20000+2500+2000+2000+3500</f>
        <v>30000</v>
      </c>
      <c r="L444" s="174"/>
      <c r="M444" s="158"/>
      <c r="N444" s="175"/>
      <c r="O444" s="176" t="s">
        <v>98</v>
      </c>
      <c r="P444" s="176">
        <v>31</v>
      </c>
      <c r="Q444" s="176">
        <v>0</v>
      </c>
      <c r="R444" s="176">
        <v>0</v>
      </c>
      <c r="S444" s="177"/>
      <c r="T444" s="176" t="s">
        <v>98</v>
      </c>
      <c r="U444" s="178"/>
      <c r="V444" s="178"/>
      <c r="W444" s="178">
        <f>V444+U444</f>
        <v>0</v>
      </c>
      <c r="X444" s="178"/>
      <c r="Y444" s="178">
        <f>W444-X444</f>
        <v>0</v>
      </c>
      <c r="Z444" s="171"/>
      <c r="AA444" s="158"/>
      <c r="AB444" s="158"/>
      <c r="AC444" s="158"/>
    </row>
    <row r="445" spans="1:29" ht="18" customHeight="1" x14ac:dyDescent="0.2">
      <c r="A445" s="163"/>
      <c r="B445" s="149" t="s">
        <v>99</v>
      </c>
      <c r="C445" s="148" t="s">
        <v>175</v>
      </c>
      <c r="D445" s="149"/>
      <c r="E445" s="149"/>
      <c r="F445" s="149"/>
      <c r="G445" s="149"/>
      <c r="H445" s="179"/>
      <c r="I445" s="172"/>
      <c r="J445" s="149"/>
      <c r="K445" s="149"/>
      <c r="L445" s="180"/>
      <c r="M445" s="159"/>
      <c r="N445" s="181"/>
      <c r="O445" s="176" t="s">
        <v>100</v>
      </c>
      <c r="P445" s="176">
        <v>29</v>
      </c>
      <c r="Q445" s="176">
        <v>0</v>
      </c>
      <c r="R445" s="176">
        <v>0</v>
      </c>
      <c r="S445" s="156"/>
      <c r="T445" s="176" t="s">
        <v>100</v>
      </c>
      <c r="U445" s="182">
        <f>IF($J$1="January","",Y444)</f>
        <v>0</v>
      </c>
      <c r="V445" s="178"/>
      <c r="W445" s="182">
        <f t="shared" ref="W445:W455" si="134">IF(U445="","",U445+V445)</f>
        <v>0</v>
      </c>
      <c r="X445" s="178"/>
      <c r="Y445" s="182">
        <f t="shared" ref="Y445:Y455" si="135">IF(W445="","",W445-X445)</f>
        <v>0</v>
      </c>
      <c r="Z445" s="183"/>
      <c r="AA445" s="158"/>
      <c r="AB445" s="158"/>
      <c r="AC445" s="158"/>
    </row>
    <row r="446" spans="1:29" ht="18" customHeight="1" x14ac:dyDescent="0.2">
      <c r="A446" s="163"/>
      <c r="B446" s="184"/>
      <c r="C446" s="185"/>
      <c r="D446" s="149"/>
      <c r="E446" s="149"/>
      <c r="F446" s="529" t="s">
        <v>89</v>
      </c>
      <c r="G446" s="503"/>
      <c r="H446" s="149"/>
      <c r="I446" s="529" t="s">
        <v>102</v>
      </c>
      <c r="J446" s="502"/>
      <c r="K446" s="503"/>
      <c r="L446" s="186"/>
      <c r="M446" s="158"/>
      <c r="N446" s="175"/>
      <c r="O446" s="176" t="s">
        <v>103</v>
      </c>
      <c r="P446" s="176">
        <v>28</v>
      </c>
      <c r="Q446" s="176">
        <v>3</v>
      </c>
      <c r="R446" s="176">
        <v>0</v>
      </c>
      <c r="S446" s="156"/>
      <c r="T446" s="176" t="s">
        <v>103</v>
      </c>
      <c r="U446" s="182">
        <f>IF($J$1="February","",Y445)</f>
        <v>0</v>
      </c>
      <c r="V446" s="178"/>
      <c r="W446" s="182">
        <f t="shared" si="134"/>
        <v>0</v>
      </c>
      <c r="X446" s="178"/>
      <c r="Y446" s="182">
        <f t="shared" si="135"/>
        <v>0</v>
      </c>
      <c r="Z446" s="183"/>
      <c r="AA446" s="158"/>
      <c r="AB446" s="158"/>
      <c r="AC446" s="158"/>
    </row>
    <row r="447" spans="1:29" ht="18" customHeight="1" x14ac:dyDescent="0.2">
      <c r="A447" s="163"/>
      <c r="B447" s="149"/>
      <c r="C447" s="149"/>
      <c r="D447" s="149"/>
      <c r="E447" s="149"/>
      <c r="F447" s="149"/>
      <c r="G447" s="149"/>
      <c r="H447" s="187"/>
      <c r="I447" s="149"/>
      <c r="J447" s="149"/>
      <c r="K447" s="149"/>
      <c r="L447" s="188"/>
      <c r="M447" s="158"/>
      <c r="N447" s="175"/>
      <c r="O447" s="176" t="s">
        <v>104</v>
      </c>
      <c r="P447" s="176">
        <v>30</v>
      </c>
      <c r="Q447" s="176">
        <v>0</v>
      </c>
      <c r="R447" s="176">
        <v>0</v>
      </c>
      <c r="S447" s="156"/>
      <c r="T447" s="176" t="s">
        <v>104</v>
      </c>
      <c r="U447" s="182">
        <f>IF($J$1="March","",Y446)</f>
        <v>0</v>
      </c>
      <c r="V447" s="178"/>
      <c r="W447" s="182">
        <f t="shared" si="134"/>
        <v>0</v>
      </c>
      <c r="X447" s="178"/>
      <c r="Y447" s="182">
        <f t="shared" si="135"/>
        <v>0</v>
      </c>
      <c r="Z447" s="183"/>
      <c r="AA447" s="158"/>
      <c r="AB447" s="158"/>
      <c r="AC447" s="158"/>
    </row>
    <row r="448" spans="1:29" ht="18" customHeight="1" x14ac:dyDescent="0.2">
      <c r="A448" s="163"/>
      <c r="B448" s="527" t="s">
        <v>88</v>
      </c>
      <c r="C448" s="503"/>
      <c r="D448" s="149"/>
      <c r="E448" s="149"/>
      <c r="F448" s="189" t="s">
        <v>105</v>
      </c>
      <c r="G448" s="190">
        <f>IF($J$1="January",U444,IF($J$1="February",U445,IF($J$1="March",U446,IF($J$1="April",U447,IF($J$1="May",U448,IF($J$1="June",U449,IF($J$1="July",U450,IF($J$1="August",U451,IF($J$1="August",U451,IF($J$1="September",U452,IF($J$1="October",U453,IF($J$1="November",U454,IF($J$1="December",U455)))))))))))))</f>
        <v>0</v>
      </c>
      <c r="H448" s="187"/>
      <c r="I448" s="191">
        <f>IF(C452&gt;=C451,$K$2,C450+C452)</f>
        <v>30</v>
      </c>
      <c r="J448" s="192" t="s">
        <v>106</v>
      </c>
      <c r="K448" s="193">
        <f>K444/$K$2*I448</f>
        <v>30000</v>
      </c>
      <c r="L448" s="194"/>
      <c r="M448" s="158"/>
      <c r="N448" s="175"/>
      <c r="O448" s="176" t="s">
        <v>107</v>
      </c>
      <c r="P448" s="176">
        <v>31</v>
      </c>
      <c r="Q448" s="176">
        <v>0</v>
      </c>
      <c r="R448" s="176">
        <v>0</v>
      </c>
      <c r="S448" s="156"/>
      <c r="T448" s="176" t="s">
        <v>107</v>
      </c>
      <c r="U448" s="182">
        <f>IF($J$1="April","",Y447)</f>
        <v>0</v>
      </c>
      <c r="V448" s="178"/>
      <c r="W448" s="182">
        <f t="shared" si="134"/>
        <v>0</v>
      </c>
      <c r="X448" s="178"/>
      <c r="Y448" s="182">
        <f t="shared" si="135"/>
        <v>0</v>
      </c>
      <c r="Z448" s="183"/>
      <c r="AA448" s="158"/>
      <c r="AB448" s="158"/>
      <c r="AC448" s="158"/>
    </row>
    <row r="449" spans="1:29" ht="18" customHeight="1" x14ac:dyDescent="0.2">
      <c r="A449" s="163"/>
      <c r="B449" s="195"/>
      <c r="C449" s="195"/>
      <c r="D449" s="149"/>
      <c r="E449" s="149"/>
      <c r="F449" s="189" t="s">
        <v>9</v>
      </c>
      <c r="G449" s="190">
        <f>IF($J$1="January",V444,IF($J$1="February",V445,IF($J$1="March",V446,IF($J$1="April",V447,IF($J$1="May",V448,IF($J$1="June",V449,IF($J$1="July",V450,IF($J$1="August",V451,IF($J$1="August",V451,IF($J$1="September",V452,IF($J$1="October",V453,IF($J$1="November",V454,IF($J$1="December",V455)))))))))))))</f>
        <v>0</v>
      </c>
      <c r="H449" s="187"/>
      <c r="I449" s="191">
        <v>57</v>
      </c>
      <c r="J449" s="192" t="s">
        <v>108</v>
      </c>
      <c r="K449" s="190">
        <f>K444/$K$2/8*I449</f>
        <v>7125</v>
      </c>
      <c r="L449" s="196"/>
      <c r="M449" s="158"/>
      <c r="N449" s="175"/>
      <c r="O449" s="176" t="s">
        <v>84</v>
      </c>
      <c r="P449" s="176">
        <v>30</v>
      </c>
      <c r="Q449" s="176">
        <v>0</v>
      </c>
      <c r="R449" s="176">
        <v>0</v>
      </c>
      <c r="S449" s="156"/>
      <c r="T449" s="176" t="s">
        <v>84</v>
      </c>
      <c r="U449" s="182">
        <f>IF($J$1="May","",Y448)</f>
        <v>0</v>
      </c>
      <c r="V449" s="178"/>
      <c r="W449" s="182">
        <f t="shared" si="134"/>
        <v>0</v>
      </c>
      <c r="X449" s="178"/>
      <c r="Y449" s="182">
        <f t="shared" si="135"/>
        <v>0</v>
      </c>
      <c r="Z449" s="183"/>
      <c r="AA449" s="158"/>
      <c r="AB449" s="158"/>
      <c r="AC449" s="158"/>
    </row>
    <row r="450" spans="1:29" ht="18" customHeight="1" x14ac:dyDescent="0.2">
      <c r="A450" s="163"/>
      <c r="B450" s="189" t="s">
        <v>92</v>
      </c>
      <c r="C450" s="195">
        <f>IF($J$1="January",P444,IF($J$1="February",P445,IF($J$1="March",P446,IF($J$1="April",P447,IF($J$1="May",P448,IF($J$1="June",P449,IF($J$1="July",P450,IF($J$1="August",P451,IF($J$1="August",P451,IF($J$1="September",P452,IF($J$1="October",P453,IF($J$1="November",P454,IF($J$1="December",P455)))))))))))))</f>
        <v>30</v>
      </c>
      <c r="D450" s="149"/>
      <c r="E450" s="149"/>
      <c r="F450" s="189" t="s">
        <v>109</v>
      </c>
      <c r="G450" s="190">
        <f>IF($J$1="January",W444,IF($J$1="February",W445,IF($J$1="March",W446,IF($J$1="April",W447,IF($J$1="May",W448,IF($J$1="June",W449,IF($J$1="July",W450,IF($J$1="August",W451,IF($J$1="August",W451,IF($J$1="September",W452,IF($J$1="October",W453,IF($J$1="November",W454,IF($J$1="December",W455)))))))))))))</f>
        <v>0</v>
      </c>
      <c r="H450" s="187"/>
      <c r="I450" s="528" t="s">
        <v>110</v>
      </c>
      <c r="J450" s="503"/>
      <c r="K450" s="190">
        <f>K448+K449</f>
        <v>37125</v>
      </c>
      <c r="L450" s="196"/>
      <c r="M450" s="158"/>
      <c r="N450" s="175"/>
      <c r="O450" s="176" t="s">
        <v>111</v>
      </c>
      <c r="P450" s="176">
        <v>31</v>
      </c>
      <c r="Q450" s="176">
        <v>0</v>
      </c>
      <c r="R450" s="176">
        <v>0</v>
      </c>
      <c r="S450" s="156"/>
      <c r="T450" s="176" t="s">
        <v>111</v>
      </c>
      <c r="U450" s="182">
        <f>IF($J$1="June","",Y449)</f>
        <v>0</v>
      </c>
      <c r="V450" s="178"/>
      <c r="W450" s="182">
        <f t="shared" si="134"/>
        <v>0</v>
      </c>
      <c r="X450" s="178"/>
      <c r="Y450" s="182">
        <f t="shared" si="135"/>
        <v>0</v>
      </c>
      <c r="Z450" s="183"/>
      <c r="AA450" s="158"/>
      <c r="AB450" s="158"/>
      <c r="AC450" s="158"/>
    </row>
    <row r="451" spans="1:29" ht="18" customHeight="1" x14ac:dyDescent="0.2">
      <c r="A451" s="163"/>
      <c r="B451" s="189" t="s">
        <v>93</v>
      </c>
      <c r="C451" s="195">
        <f>IF($J$1="January",Q444,IF($J$1="February",Q445,IF($J$1="March",Q446,IF($J$1="April",Q447,IF($J$1="May",Q448,IF($J$1="June",Q449,IF($J$1="July",Q450,IF($J$1="August",Q451,IF($J$1="August",Q451,IF($J$1="September",Q452,IF($J$1="October",Q453,IF($J$1="November",Q454,IF($J$1="December",Q455)))))))))))))</f>
        <v>0</v>
      </c>
      <c r="D451" s="149"/>
      <c r="E451" s="149"/>
      <c r="F451" s="189" t="s">
        <v>11</v>
      </c>
      <c r="G451" s="190">
        <f>IF($J$1="January",X444,IF($J$1="February",X445,IF($J$1="March",X446,IF($J$1="April",X447,IF($J$1="May",X448,IF($J$1="June",X449,IF($J$1="July",X450,IF($J$1="August",X451,IF($J$1="August",X451,IF($J$1="September",X452,IF($J$1="October",X453,IF($J$1="November",X454,IF($J$1="December",X455)))))))))))))</f>
        <v>0</v>
      </c>
      <c r="H451" s="187"/>
      <c r="I451" s="528" t="s">
        <v>112</v>
      </c>
      <c r="J451" s="503"/>
      <c r="K451" s="190">
        <f>G451</f>
        <v>0</v>
      </c>
      <c r="L451" s="196"/>
      <c r="M451" s="158"/>
      <c r="N451" s="175"/>
      <c r="O451" s="176" t="s">
        <v>113</v>
      </c>
      <c r="P451" s="176">
        <v>31</v>
      </c>
      <c r="Q451" s="176">
        <v>0</v>
      </c>
      <c r="R451" s="176">
        <v>0</v>
      </c>
      <c r="S451" s="156"/>
      <c r="T451" s="176" t="s">
        <v>113</v>
      </c>
      <c r="U451" s="182">
        <f>IF($J$1="July","",Y450)</f>
        <v>0</v>
      </c>
      <c r="V451" s="178"/>
      <c r="W451" s="182">
        <f t="shared" si="134"/>
        <v>0</v>
      </c>
      <c r="X451" s="178"/>
      <c r="Y451" s="182">
        <f t="shared" si="135"/>
        <v>0</v>
      </c>
      <c r="Z451" s="183"/>
      <c r="AA451" s="158"/>
      <c r="AB451" s="158"/>
      <c r="AC451" s="158"/>
    </row>
    <row r="452" spans="1:29" ht="18" customHeight="1" x14ac:dyDescent="0.2">
      <c r="A452" s="163"/>
      <c r="B452" s="204" t="s">
        <v>114</v>
      </c>
      <c r="C452" s="195">
        <f>IF($J$1="January",R444,IF($J$1="February",R445,IF($J$1="March",R446,IF($J$1="April",R447,IF($J$1="May",R448,IF($J$1="June",R449,IF($J$1="July",R450,IF($J$1="August",R451,IF($J$1="August",R451,IF($J$1="September",R452,IF($J$1="October",R453,IF($J$1="November",R454,IF($J$1="December",R455)))))))))))))</f>
        <v>0</v>
      </c>
      <c r="D452" s="149"/>
      <c r="E452" s="149"/>
      <c r="F452" s="204" t="s">
        <v>115</v>
      </c>
      <c r="G452" s="190">
        <f>IF($J$1="January",Y444,IF($J$1="February",Y445,IF($J$1="March",Y446,IF($J$1="April",Y447,IF($J$1="May",Y448,IF($J$1="June",Y449,IF($J$1="July",Y450,IF($J$1="August",Y451,IF($J$1="August",Y451,IF($J$1="September",Y452,IF($J$1="October",Y453,IF($J$1="November",Y454,IF($J$1="December",Y455)))))))))))))</f>
        <v>0</v>
      </c>
      <c r="H452" s="149"/>
      <c r="I452" s="529" t="s">
        <v>13</v>
      </c>
      <c r="J452" s="503"/>
      <c r="K452" s="37">
        <f>K450-K451</f>
        <v>37125</v>
      </c>
      <c r="L452" s="180"/>
      <c r="M452" s="158"/>
      <c r="N452" s="175"/>
      <c r="O452" s="176" t="s">
        <v>116</v>
      </c>
      <c r="P452" s="176">
        <v>30</v>
      </c>
      <c r="Q452" s="176">
        <v>0</v>
      </c>
      <c r="R452" s="176">
        <v>0</v>
      </c>
      <c r="S452" s="156"/>
      <c r="T452" s="176" t="s">
        <v>116</v>
      </c>
      <c r="U452" s="182">
        <f>IF($J$1="September",Y451,"")</f>
        <v>0</v>
      </c>
      <c r="V452" s="178"/>
      <c r="W452" s="182">
        <f t="shared" si="134"/>
        <v>0</v>
      </c>
      <c r="X452" s="178"/>
      <c r="Y452" s="182">
        <f t="shared" si="135"/>
        <v>0</v>
      </c>
      <c r="Z452" s="183"/>
      <c r="AA452" s="158"/>
      <c r="AB452" s="158"/>
      <c r="AC452" s="158"/>
    </row>
    <row r="453" spans="1:29" ht="18" customHeight="1" x14ac:dyDescent="0.2">
      <c r="A453" s="163"/>
      <c r="B453" s="149"/>
      <c r="C453" s="149"/>
      <c r="D453" s="149"/>
      <c r="E453" s="149"/>
      <c r="F453" s="149"/>
      <c r="G453" s="149"/>
      <c r="H453" s="149"/>
      <c r="I453" s="530"/>
      <c r="J453" s="531"/>
      <c r="K453" s="151"/>
      <c r="L453" s="186"/>
      <c r="M453" s="158"/>
      <c r="N453" s="175"/>
      <c r="O453" s="176" t="s">
        <v>117</v>
      </c>
      <c r="P453" s="176"/>
      <c r="Q453" s="176"/>
      <c r="R453" s="176">
        <v>0</v>
      </c>
      <c r="S453" s="156"/>
      <c r="T453" s="176" t="s">
        <v>117</v>
      </c>
      <c r="U453" s="182">
        <f t="shared" ref="U453:U454" si="136">Y452</f>
        <v>0</v>
      </c>
      <c r="V453" s="178"/>
      <c r="W453" s="182">
        <f t="shared" si="134"/>
        <v>0</v>
      </c>
      <c r="X453" s="178"/>
      <c r="Y453" s="182">
        <f t="shared" si="135"/>
        <v>0</v>
      </c>
      <c r="Z453" s="183"/>
      <c r="AA453" s="158"/>
      <c r="AB453" s="158"/>
      <c r="AC453" s="158"/>
    </row>
    <row r="454" spans="1:29" ht="18" customHeight="1" x14ac:dyDescent="0.3">
      <c r="A454" s="163"/>
      <c r="B454" s="147"/>
      <c r="C454" s="147"/>
      <c r="D454" s="147"/>
      <c r="E454" s="147"/>
      <c r="F454" s="147"/>
      <c r="G454" s="147"/>
      <c r="H454" s="147"/>
      <c r="I454" s="530"/>
      <c r="J454" s="531"/>
      <c r="K454" s="151"/>
      <c r="L454" s="186"/>
      <c r="M454" s="158"/>
      <c r="N454" s="175"/>
      <c r="O454" s="176" t="s">
        <v>118</v>
      </c>
      <c r="P454" s="176"/>
      <c r="Q454" s="176"/>
      <c r="R454" s="176">
        <v>0</v>
      </c>
      <c r="S454" s="156"/>
      <c r="T454" s="176" t="s">
        <v>118</v>
      </c>
      <c r="U454" s="182">
        <f t="shared" si="136"/>
        <v>0</v>
      </c>
      <c r="V454" s="178"/>
      <c r="W454" s="182">
        <f t="shared" si="134"/>
        <v>0</v>
      </c>
      <c r="X454" s="178"/>
      <c r="Y454" s="182">
        <f t="shared" si="135"/>
        <v>0</v>
      </c>
      <c r="Z454" s="183"/>
      <c r="AA454" s="158"/>
      <c r="AB454" s="158"/>
      <c r="AC454" s="158"/>
    </row>
    <row r="455" spans="1:29" ht="18" customHeight="1" thickBot="1" x14ac:dyDescent="0.35">
      <c r="A455" s="197"/>
      <c r="B455" s="198"/>
      <c r="C455" s="198"/>
      <c r="D455" s="198"/>
      <c r="E455" s="198"/>
      <c r="F455" s="198"/>
      <c r="G455" s="198"/>
      <c r="H455" s="198"/>
      <c r="I455" s="198"/>
      <c r="J455" s="198"/>
      <c r="K455" s="216"/>
      <c r="L455" s="199"/>
      <c r="M455" s="158"/>
      <c r="N455" s="175"/>
      <c r="O455" s="176" t="s">
        <v>119</v>
      </c>
      <c r="P455" s="176"/>
      <c r="Q455" s="176"/>
      <c r="R455" s="176">
        <v>0</v>
      </c>
      <c r="S455" s="156"/>
      <c r="T455" s="176" t="s">
        <v>119</v>
      </c>
      <c r="U455" s="182">
        <v>0</v>
      </c>
      <c r="V455" s="178"/>
      <c r="W455" s="182">
        <f t="shared" si="134"/>
        <v>0</v>
      </c>
      <c r="X455" s="178"/>
      <c r="Y455" s="182">
        <f t="shared" si="135"/>
        <v>0</v>
      </c>
      <c r="Z455" s="183"/>
      <c r="AA455" s="158"/>
      <c r="AB455" s="158"/>
      <c r="AC455" s="158"/>
    </row>
    <row r="456" spans="1:29" ht="18" customHeight="1" thickBot="1" x14ac:dyDescent="0.25">
      <c r="A456" s="200"/>
      <c r="B456" s="200"/>
      <c r="C456" s="200"/>
      <c r="D456" s="200"/>
      <c r="E456" s="200"/>
      <c r="F456" s="200"/>
      <c r="G456" s="200"/>
      <c r="H456" s="200"/>
      <c r="I456" s="200"/>
      <c r="J456" s="200"/>
      <c r="K456" s="200"/>
      <c r="L456" s="200"/>
      <c r="M456" s="201"/>
      <c r="N456" s="202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1"/>
      <c r="AB456" s="201"/>
      <c r="AC456" s="201"/>
    </row>
    <row r="457" spans="1:29" ht="18" customHeight="1" thickBot="1" x14ac:dyDescent="0.25">
      <c r="A457" s="532" t="s">
        <v>87</v>
      </c>
      <c r="B457" s="533"/>
      <c r="C457" s="533"/>
      <c r="D457" s="533"/>
      <c r="E457" s="533"/>
      <c r="F457" s="533"/>
      <c r="G457" s="533"/>
      <c r="H457" s="533"/>
      <c r="I457" s="533"/>
      <c r="J457" s="533"/>
      <c r="K457" s="533"/>
      <c r="L457" s="534"/>
      <c r="M457" s="159"/>
      <c r="N457" s="160"/>
      <c r="O457" s="524" t="s">
        <v>88</v>
      </c>
      <c r="P457" s="525"/>
      <c r="Q457" s="525"/>
      <c r="R457" s="526"/>
      <c r="S457" s="161"/>
      <c r="T457" s="524" t="s">
        <v>89</v>
      </c>
      <c r="U457" s="525"/>
      <c r="V457" s="525"/>
      <c r="W457" s="525"/>
      <c r="X457" s="525"/>
      <c r="Y457" s="526"/>
      <c r="Z457" s="162"/>
      <c r="AA457" s="159"/>
      <c r="AB457" s="158"/>
      <c r="AC457" s="158"/>
    </row>
    <row r="458" spans="1:29" ht="18" customHeight="1" x14ac:dyDescent="0.2">
      <c r="A458" s="163"/>
      <c r="B458" s="149"/>
      <c r="C458" s="535" t="s">
        <v>176</v>
      </c>
      <c r="D458" s="531"/>
      <c r="E458" s="531"/>
      <c r="F458" s="531"/>
      <c r="G458" s="164" t="str">
        <f>$J$1</f>
        <v>September</v>
      </c>
      <c r="H458" s="536">
        <f>$K$1</f>
        <v>2024</v>
      </c>
      <c r="I458" s="531"/>
      <c r="J458" s="149"/>
      <c r="K458" s="165"/>
      <c r="L458" s="166"/>
      <c r="M458" s="167"/>
      <c r="N458" s="168"/>
      <c r="O458" s="169" t="s">
        <v>91</v>
      </c>
      <c r="P458" s="169" t="s">
        <v>92</v>
      </c>
      <c r="Q458" s="169" t="s">
        <v>93</v>
      </c>
      <c r="R458" s="169" t="s">
        <v>94</v>
      </c>
      <c r="S458" s="170"/>
      <c r="T458" s="169" t="s">
        <v>91</v>
      </c>
      <c r="U458" s="169" t="s">
        <v>95</v>
      </c>
      <c r="V458" s="169" t="s">
        <v>9</v>
      </c>
      <c r="W458" s="169" t="s">
        <v>10</v>
      </c>
      <c r="X458" s="169" t="s">
        <v>11</v>
      </c>
      <c r="Y458" s="169" t="s">
        <v>96</v>
      </c>
      <c r="Z458" s="171"/>
      <c r="AA458" s="167"/>
      <c r="AB458" s="158"/>
      <c r="AC458" s="158"/>
    </row>
    <row r="459" spans="1:29" ht="18" customHeight="1" x14ac:dyDescent="0.2">
      <c r="A459" s="163"/>
      <c r="B459" s="149"/>
      <c r="C459" s="149"/>
      <c r="D459" s="172"/>
      <c r="E459" s="172"/>
      <c r="F459" s="172"/>
      <c r="G459" s="172"/>
      <c r="H459" s="172"/>
      <c r="I459" s="149"/>
      <c r="J459" s="173" t="s">
        <v>97</v>
      </c>
      <c r="K459" s="151">
        <f>30000+2000</f>
        <v>32000</v>
      </c>
      <c r="L459" s="174"/>
      <c r="M459" s="158"/>
      <c r="N459" s="175"/>
      <c r="O459" s="176" t="s">
        <v>98</v>
      </c>
      <c r="P459" s="176">
        <v>31</v>
      </c>
      <c r="Q459" s="176">
        <v>0</v>
      </c>
      <c r="R459" s="176"/>
      <c r="S459" s="177"/>
      <c r="T459" s="176" t="s">
        <v>98</v>
      </c>
      <c r="U459" s="178"/>
      <c r="V459" s="178"/>
      <c r="W459" s="178">
        <f>V459+U459</f>
        <v>0</v>
      </c>
      <c r="X459" s="178"/>
      <c r="Y459" s="178">
        <f>W459-X459</f>
        <v>0</v>
      </c>
      <c r="Z459" s="171"/>
      <c r="AA459" s="158"/>
      <c r="AB459" s="158"/>
      <c r="AC459" s="158"/>
    </row>
    <row r="460" spans="1:29" ht="18" customHeight="1" x14ac:dyDescent="0.2">
      <c r="A460" s="163"/>
      <c r="B460" s="149" t="s">
        <v>99</v>
      </c>
      <c r="C460" s="148" t="s">
        <v>336</v>
      </c>
      <c r="D460" s="149"/>
      <c r="E460" s="149"/>
      <c r="F460" s="149"/>
      <c r="G460" s="149"/>
      <c r="H460" s="179"/>
      <c r="I460" s="172"/>
      <c r="J460" s="149"/>
      <c r="K460" s="149"/>
      <c r="L460" s="180"/>
      <c r="M460" s="159"/>
      <c r="N460" s="181"/>
      <c r="O460" s="176" t="s">
        <v>100</v>
      </c>
      <c r="P460" s="176">
        <v>29</v>
      </c>
      <c r="Q460" s="176">
        <v>0</v>
      </c>
      <c r="R460" s="176">
        <f>IF(Q460="","",R459-Q460)</f>
        <v>0</v>
      </c>
      <c r="S460" s="156"/>
      <c r="T460" s="176" t="s">
        <v>100</v>
      </c>
      <c r="U460" s="182">
        <f>IF($J$1="January","",Y459)</f>
        <v>0</v>
      </c>
      <c r="V460" s="178"/>
      <c r="W460" s="182">
        <f t="shared" ref="W460:W470" si="137">IF(U460="","",U460+V460)</f>
        <v>0</v>
      </c>
      <c r="X460" s="178"/>
      <c r="Y460" s="182">
        <f t="shared" ref="Y460:Y470" si="138">IF(W460="","",W460-X460)</f>
        <v>0</v>
      </c>
      <c r="Z460" s="183"/>
      <c r="AA460" s="159"/>
      <c r="AB460" s="158"/>
      <c r="AC460" s="158"/>
    </row>
    <row r="461" spans="1:29" ht="18" customHeight="1" x14ac:dyDescent="0.2">
      <c r="A461" s="163"/>
      <c r="B461" s="184" t="s">
        <v>101</v>
      </c>
      <c r="C461" s="185"/>
      <c r="D461" s="149"/>
      <c r="E461" s="149"/>
      <c r="F461" s="529" t="s">
        <v>89</v>
      </c>
      <c r="G461" s="503"/>
      <c r="H461" s="149"/>
      <c r="I461" s="529" t="s">
        <v>102</v>
      </c>
      <c r="J461" s="502"/>
      <c r="K461" s="503"/>
      <c r="L461" s="186"/>
      <c r="M461" s="158"/>
      <c r="N461" s="175"/>
      <c r="O461" s="176" t="s">
        <v>103</v>
      </c>
      <c r="P461" s="176">
        <v>31</v>
      </c>
      <c r="Q461" s="176">
        <v>0</v>
      </c>
      <c r="R461" s="176">
        <v>0</v>
      </c>
      <c r="S461" s="156"/>
      <c r="T461" s="176" t="s">
        <v>103</v>
      </c>
      <c r="U461" s="182">
        <f>IF($J$1="February","",Y460)</f>
        <v>0</v>
      </c>
      <c r="V461" s="178">
        <v>25000</v>
      </c>
      <c r="W461" s="182">
        <f t="shared" si="137"/>
        <v>25000</v>
      </c>
      <c r="X461" s="178"/>
      <c r="Y461" s="182">
        <f t="shared" si="138"/>
        <v>25000</v>
      </c>
      <c r="Z461" s="183"/>
      <c r="AA461" s="158"/>
      <c r="AB461" s="158"/>
      <c r="AC461" s="158"/>
    </row>
    <row r="462" spans="1:29" ht="18" customHeight="1" x14ac:dyDescent="0.2">
      <c r="A462" s="163"/>
      <c r="B462" s="149"/>
      <c r="C462" s="149"/>
      <c r="D462" s="149"/>
      <c r="E462" s="149"/>
      <c r="F462" s="149"/>
      <c r="G462" s="149"/>
      <c r="H462" s="187"/>
      <c r="I462" s="149"/>
      <c r="J462" s="149"/>
      <c r="K462" s="149"/>
      <c r="L462" s="188"/>
      <c r="M462" s="158"/>
      <c r="N462" s="175"/>
      <c r="O462" s="176" t="s">
        <v>104</v>
      </c>
      <c r="P462" s="176">
        <v>30</v>
      </c>
      <c r="Q462" s="176">
        <v>0</v>
      </c>
      <c r="R462" s="176">
        <f t="shared" ref="R462:R465" si="139">IF(Q462="","",R461-Q462)</f>
        <v>0</v>
      </c>
      <c r="S462" s="156"/>
      <c r="T462" s="176" t="s">
        <v>104</v>
      </c>
      <c r="U462" s="182">
        <f t="shared" ref="U462:U464" si="140">Y461</f>
        <v>25000</v>
      </c>
      <c r="V462" s="178"/>
      <c r="W462" s="182">
        <f t="shared" si="137"/>
        <v>25000</v>
      </c>
      <c r="X462" s="178">
        <v>5000</v>
      </c>
      <c r="Y462" s="182">
        <f t="shared" si="138"/>
        <v>20000</v>
      </c>
      <c r="Z462" s="183"/>
      <c r="AA462" s="158"/>
      <c r="AB462" s="158"/>
      <c r="AC462" s="158"/>
    </row>
    <row r="463" spans="1:29" ht="18" customHeight="1" x14ac:dyDescent="0.2">
      <c r="A463" s="163"/>
      <c r="B463" s="527" t="s">
        <v>88</v>
      </c>
      <c r="C463" s="503"/>
      <c r="D463" s="149"/>
      <c r="E463" s="149"/>
      <c r="F463" s="189" t="s">
        <v>105</v>
      </c>
      <c r="G463" s="190">
        <f>IF($J$1="January",U459,IF($J$1="February",U460,IF($J$1="March",U461,IF($J$1="April",U462,IF($J$1="May",U463,IF($J$1="June",U464,IF($J$1="July",U465,IF($J$1="August",U466,IF($J$1="August",U466,IF($J$1="September",U467,IF($J$1="October",U468,IF($J$1="November",U469,IF($J$1="December",U470)))))))))))))</f>
        <v>0</v>
      </c>
      <c r="H463" s="187"/>
      <c r="I463" s="191">
        <f>IF(C467&gt;=C466,$K$2,C465+C467)</f>
        <v>23</v>
      </c>
      <c r="J463" s="192" t="s">
        <v>106</v>
      </c>
      <c r="K463" s="193">
        <f>K459/$K$2*I463</f>
        <v>24533.333333333336</v>
      </c>
      <c r="L463" s="194"/>
      <c r="M463" s="158"/>
      <c r="N463" s="175"/>
      <c r="O463" s="176" t="s">
        <v>107</v>
      </c>
      <c r="P463" s="176">
        <v>31</v>
      </c>
      <c r="Q463" s="176">
        <v>0</v>
      </c>
      <c r="R463" s="176">
        <f t="shared" si="139"/>
        <v>0</v>
      </c>
      <c r="S463" s="156"/>
      <c r="T463" s="176" t="s">
        <v>107</v>
      </c>
      <c r="U463" s="182">
        <f t="shared" si="140"/>
        <v>20000</v>
      </c>
      <c r="V463" s="178"/>
      <c r="W463" s="182">
        <f t="shared" si="137"/>
        <v>20000</v>
      </c>
      <c r="X463" s="178">
        <v>5000</v>
      </c>
      <c r="Y463" s="182">
        <f t="shared" si="138"/>
        <v>15000</v>
      </c>
      <c r="Z463" s="183"/>
      <c r="AA463" s="158"/>
      <c r="AB463" s="158"/>
      <c r="AC463" s="158"/>
    </row>
    <row r="464" spans="1:29" ht="18" customHeight="1" x14ac:dyDescent="0.2">
      <c r="A464" s="163"/>
      <c r="B464" s="195"/>
      <c r="C464" s="195"/>
      <c r="D464" s="149"/>
      <c r="E464" s="149"/>
      <c r="F464" s="189" t="s">
        <v>9</v>
      </c>
      <c r="G464" s="190">
        <f>IF($J$1="January",V459,IF($J$1="February",V460,IF($J$1="March",V461,IF($J$1="April",V462,IF($J$1="May",V463,IF($J$1="June",V464,IF($J$1="July",V465,IF($J$1="August",V466,IF($J$1="August",V466,IF($J$1="September",V467,IF($J$1="October",V468,IF($J$1="November",V469,IF($J$1="December",V470)))))))))))))</f>
        <v>0</v>
      </c>
      <c r="H464" s="187"/>
      <c r="I464" s="191">
        <v>38</v>
      </c>
      <c r="J464" s="192" t="s">
        <v>108</v>
      </c>
      <c r="K464" s="190">
        <f>K459/$K$2/8*I464</f>
        <v>5066.666666666667</v>
      </c>
      <c r="L464" s="196"/>
      <c r="M464" s="158"/>
      <c r="N464" s="175"/>
      <c r="O464" s="176" t="s">
        <v>84</v>
      </c>
      <c r="P464" s="176">
        <v>30</v>
      </c>
      <c r="Q464" s="176">
        <v>0</v>
      </c>
      <c r="R464" s="176">
        <f t="shared" si="139"/>
        <v>0</v>
      </c>
      <c r="S464" s="156"/>
      <c r="T464" s="176" t="s">
        <v>84</v>
      </c>
      <c r="U464" s="182">
        <f t="shared" si="140"/>
        <v>15000</v>
      </c>
      <c r="V464" s="178"/>
      <c r="W464" s="182">
        <f t="shared" si="137"/>
        <v>15000</v>
      </c>
      <c r="X464" s="178">
        <v>3000</v>
      </c>
      <c r="Y464" s="182">
        <f t="shared" si="138"/>
        <v>12000</v>
      </c>
      <c r="Z464" s="183"/>
      <c r="AA464" s="158"/>
      <c r="AB464" s="158"/>
      <c r="AC464" s="158"/>
    </row>
    <row r="465" spans="1:29" ht="18" customHeight="1" x14ac:dyDescent="0.2">
      <c r="A465" s="163"/>
      <c r="B465" s="189" t="s">
        <v>92</v>
      </c>
      <c r="C465" s="195">
        <f>IF($J$1="January",P459,IF($J$1="February",P460,IF($J$1="March",P461,IF($J$1="April",P462,IF($J$1="May",P463,IF($J$1="June",P464,IF($J$1="July",P465,IF($J$1="August",P466,IF($J$1="August",P466,IF($J$1="September",P467,IF($J$1="October",P468,IF($J$1="November",P469,IF($J$1="December",P470)))))))))))))</f>
        <v>23</v>
      </c>
      <c r="D465" s="149"/>
      <c r="E465" s="149"/>
      <c r="F465" s="189" t="s">
        <v>109</v>
      </c>
      <c r="G465" s="190">
        <f>IF($J$1="January",W459,IF($J$1="February",W460,IF($J$1="March",W461,IF($J$1="April",W462,IF($J$1="May",W463,IF($J$1="June",W464,IF($J$1="July",W465,IF($J$1="August",W466,IF($J$1="August",W466,IF($J$1="September",W467,IF($J$1="October",W468,IF($J$1="November",W469,IF($J$1="December",W470)))))))))))))</f>
        <v>0</v>
      </c>
      <c r="H465" s="187"/>
      <c r="I465" s="528" t="s">
        <v>110</v>
      </c>
      <c r="J465" s="503"/>
      <c r="K465" s="190">
        <f>K463+K464</f>
        <v>29600.000000000004</v>
      </c>
      <c r="L465" s="196"/>
      <c r="M465" s="158"/>
      <c r="N465" s="175"/>
      <c r="O465" s="176" t="s">
        <v>111</v>
      </c>
      <c r="P465" s="176">
        <v>31</v>
      </c>
      <c r="Q465" s="176">
        <v>0</v>
      </c>
      <c r="R465" s="176">
        <f t="shared" si="139"/>
        <v>0</v>
      </c>
      <c r="S465" s="156"/>
      <c r="T465" s="176" t="s">
        <v>111</v>
      </c>
      <c r="U465" s="182">
        <f>Y464</f>
        <v>12000</v>
      </c>
      <c r="V465" s="178"/>
      <c r="W465" s="182">
        <f t="shared" si="137"/>
        <v>12000</v>
      </c>
      <c r="X465" s="178">
        <v>3000</v>
      </c>
      <c r="Y465" s="182">
        <f t="shared" si="138"/>
        <v>9000</v>
      </c>
      <c r="Z465" s="183"/>
      <c r="AA465" s="158"/>
      <c r="AB465" s="158"/>
      <c r="AC465" s="158"/>
    </row>
    <row r="466" spans="1:29" ht="18" customHeight="1" x14ac:dyDescent="0.2">
      <c r="A466" s="163"/>
      <c r="B466" s="189" t="s">
        <v>93</v>
      </c>
      <c r="C466" s="195">
        <f>IF($J$1="January",Q459,IF($J$1="February",Q460,IF($J$1="March",Q461,IF($J$1="April",Q462,IF($J$1="May",Q463,IF($J$1="June",Q464,IF($J$1="July",Q465,IF($J$1="August",Q466,IF($J$1="August",Q466,IF($J$1="September",Q467,IF($J$1="October",Q468,IF($J$1="November",Q469,IF($J$1="December",Q470)))))))))))))</f>
        <v>7</v>
      </c>
      <c r="D466" s="149"/>
      <c r="E466" s="149"/>
      <c r="F466" s="189" t="s">
        <v>11</v>
      </c>
      <c r="G466" s="190">
        <f>IF($J$1="January",X459,IF($J$1="February",X460,IF($J$1="March",X461,IF($J$1="April",X462,IF($J$1="May",X463,IF($J$1="June",X464,IF($J$1="July",X465,IF($J$1="August",X466,IF($J$1="August",X466,IF($J$1="September",X467,IF($J$1="October",X468,IF($J$1="November",X469,IF($J$1="December",X470)))))))))))))</f>
        <v>0</v>
      </c>
      <c r="H466" s="187"/>
      <c r="I466" s="528" t="s">
        <v>112</v>
      </c>
      <c r="J466" s="503"/>
      <c r="K466" s="190">
        <f>G466</f>
        <v>0</v>
      </c>
      <c r="L466" s="196"/>
      <c r="M466" s="158"/>
      <c r="N466" s="175"/>
      <c r="O466" s="176" t="s">
        <v>113</v>
      </c>
      <c r="P466" s="176">
        <v>15</v>
      </c>
      <c r="Q466" s="176">
        <v>16</v>
      </c>
      <c r="R466" s="176">
        <v>0</v>
      </c>
      <c r="S466" s="156"/>
      <c r="T466" s="176" t="s">
        <v>113</v>
      </c>
      <c r="U466" s="182">
        <f>Y465</f>
        <v>9000</v>
      </c>
      <c r="V466" s="178"/>
      <c r="W466" s="182">
        <f t="shared" si="137"/>
        <v>9000</v>
      </c>
      <c r="X466" s="178">
        <v>9000</v>
      </c>
      <c r="Y466" s="182">
        <f t="shared" si="138"/>
        <v>0</v>
      </c>
      <c r="Z466" s="183"/>
      <c r="AA466" s="158"/>
      <c r="AB466" s="158"/>
      <c r="AC466" s="158"/>
    </row>
    <row r="467" spans="1:29" ht="18" customHeight="1" x14ac:dyDescent="0.2">
      <c r="A467" s="163"/>
      <c r="B467" s="204" t="s">
        <v>114</v>
      </c>
      <c r="C467" s="195">
        <f>IF($J$1="January",R459,IF($J$1="February",R460,IF($J$1="March",R461,IF($J$1="April",R462,IF($J$1="May",R463,IF($J$1="June",R464,IF($J$1="July",R465,IF($J$1="August",R466,IF($J$1="August",R466,IF($J$1="September",R467,IF($J$1="October",R468,IF($J$1="November",R469,IF($J$1="December",R470)))))))))))))</f>
        <v>0</v>
      </c>
      <c r="D467" s="149"/>
      <c r="E467" s="149"/>
      <c r="F467" s="204" t="s">
        <v>115</v>
      </c>
      <c r="G467" s="190">
        <f>IF($J$1="January",Y459,IF($J$1="February",Y460,IF($J$1="March",Y461,IF($J$1="April",Y462,IF($J$1="May",Y463,IF($J$1="June",Y464,IF($J$1="July",Y465,IF($J$1="August",Y466,IF($J$1="August",Y466,IF($J$1="September",Y467,IF($J$1="October",Y468,IF($J$1="November",Y469,IF($J$1="December",Y470)))))))))))))</f>
        <v>0</v>
      </c>
      <c r="H467" s="149"/>
      <c r="I467" s="529" t="s">
        <v>13</v>
      </c>
      <c r="J467" s="503"/>
      <c r="K467" s="37">
        <f>K465-K466</f>
        <v>29600.000000000004</v>
      </c>
      <c r="L467" s="180"/>
      <c r="M467" s="158"/>
      <c r="N467" s="175"/>
      <c r="O467" s="176" t="s">
        <v>116</v>
      </c>
      <c r="P467" s="176">
        <v>23</v>
      </c>
      <c r="Q467" s="176">
        <v>7</v>
      </c>
      <c r="R467" s="176">
        <v>0</v>
      </c>
      <c r="S467" s="156"/>
      <c r="T467" s="176" t="s">
        <v>116</v>
      </c>
      <c r="U467" s="182">
        <f>IF($J$1="September",Y466,"")</f>
        <v>0</v>
      </c>
      <c r="V467" s="178"/>
      <c r="W467" s="182">
        <f t="shared" si="137"/>
        <v>0</v>
      </c>
      <c r="X467" s="178"/>
      <c r="Y467" s="182">
        <f t="shared" si="138"/>
        <v>0</v>
      </c>
      <c r="Z467" s="183"/>
      <c r="AA467" s="158"/>
      <c r="AB467" s="158"/>
      <c r="AC467" s="158"/>
    </row>
    <row r="468" spans="1:29" ht="18" customHeight="1" x14ac:dyDescent="0.2">
      <c r="A468" s="163"/>
      <c r="B468" s="149"/>
      <c r="C468" s="149"/>
      <c r="D468" s="149"/>
      <c r="E468" s="149"/>
      <c r="F468" s="149"/>
      <c r="G468" s="149"/>
      <c r="H468" s="149"/>
      <c r="I468" s="530"/>
      <c r="J468" s="531"/>
      <c r="K468" s="151"/>
      <c r="L468" s="186"/>
      <c r="M468" s="158"/>
      <c r="N468" s="175"/>
      <c r="O468" s="176" t="s">
        <v>117</v>
      </c>
      <c r="P468" s="176"/>
      <c r="Q468" s="176"/>
      <c r="R468" s="176">
        <v>0</v>
      </c>
      <c r="S468" s="156"/>
      <c r="T468" s="176" t="s">
        <v>117</v>
      </c>
      <c r="U468" s="182">
        <f>Y467</f>
        <v>0</v>
      </c>
      <c r="V468" s="178"/>
      <c r="W468" s="182">
        <f t="shared" si="137"/>
        <v>0</v>
      </c>
      <c r="X468" s="178"/>
      <c r="Y468" s="182">
        <f t="shared" si="138"/>
        <v>0</v>
      </c>
      <c r="Z468" s="183"/>
      <c r="AA468" s="158"/>
      <c r="AB468" s="158"/>
      <c r="AC468" s="158"/>
    </row>
    <row r="469" spans="1:29" ht="18" customHeight="1" x14ac:dyDescent="0.3">
      <c r="A469" s="163"/>
      <c r="B469" s="147"/>
      <c r="C469" s="147"/>
      <c r="D469" s="147"/>
      <c r="E469" s="147"/>
      <c r="F469" s="147"/>
      <c r="G469" s="147"/>
      <c r="H469" s="147"/>
      <c r="I469" s="530"/>
      <c r="J469" s="531"/>
      <c r="K469" s="151"/>
      <c r="L469" s="186"/>
      <c r="M469" s="158"/>
      <c r="N469" s="175"/>
      <c r="O469" s="176" t="s">
        <v>118</v>
      </c>
      <c r="P469" s="176"/>
      <c r="Q469" s="176"/>
      <c r="R469" s="176" t="str">
        <f>IF(Q469="","",R468-Q469)</f>
        <v/>
      </c>
      <c r="S469" s="156"/>
      <c r="T469" s="176" t="s">
        <v>118</v>
      </c>
      <c r="U469" s="182"/>
      <c r="V469" s="178"/>
      <c r="W469" s="182" t="str">
        <f t="shared" si="137"/>
        <v/>
      </c>
      <c r="X469" s="178"/>
      <c r="Y469" s="182" t="str">
        <f t="shared" si="138"/>
        <v/>
      </c>
      <c r="Z469" s="183"/>
      <c r="AA469" s="158"/>
      <c r="AB469" s="158"/>
      <c r="AC469" s="158"/>
    </row>
    <row r="470" spans="1:29" ht="18" customHeight="1" thickBot="1" x14ac:dyDescent="0.35">
      <c r="A470" s="197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9"/>
      <c r="M470" s="158"/>
      <c r="N470" s="175"/>
      <c r="O470" s="176" t="s">
        <v>119</v>
      </c>
      <c r="P470" s="176"/>
      <c r="Q470" s="176"/>
      <c r="R470" s="176">
        <v>0</v>
      </c>
      <c r="S470" s="156"/>
      <c r="T470" s="176" t="s">
        <v>119</v>
      </c>
      <c r="U470" s="182"/>
      <c r="V470" s="178"/>
      <c r="W470" s="182" t="str">
        <f t="shared" si="137"/>
        <v/>
      </c>
      <c r="X470" s="178"/>
      <c r="Y470" s="182" t="str">
        <f t="shared" si="138"/>
        <v/>
      </c>
      <c r="Z470" s="183"/>
      <c r="AA470" s="158"/>
      <c r="AB470" s="158"/>
      <c r="AC470" s="158"/>
    </row>
    <row r="471" spans="1:29" ht="18" customHeight="1" thickBot="1" x14ac:dyDescent="0.25">
      <c r="A471" s="200"/>
      <c r="B471" s="200"/>
      <c r="C471" s="200"/>
      <c r="D471" s="200"/>
      <c r="E471" s="200"/>
      <c r="F471" s="200"/>
      <c r="G471" s="200"/>
      <c r="H471" s="200"/>
      <c r="I471" s="200"/>
      <c r="J471" s="200"/>
      <c r="K471" s="200"/>
      <c r="L471" s="200"/>
      <c r="M471" s="201"/>
      <c r="N471" s="202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1"/>
      <c r="AB471" s="201"/>
      <c r="AC471" s="201"/>
    </row>
    <row r="472" spans="1:29" ht="18" customHeight="1" thickBot="1" x14ac:dyDescent="0.25">
      <c r="A472" s="532" t="s">
        <v>87</v>
      </c>
      <c r="B472" s="533"/>
      <c r="C472" s="533"/>
      <c r="D472" s="533"/>
      <c r="E472" s="533"/>
      <c r="F472" s="533"/>
      <c r="G472" s="533"/>
      <c r="H472" s="533"/>
      <c r="I472" s="533"/>
      <c r="J472" s="533"/>
      <c r="K472" s="533"/>
      <c r="L472" s="534"/>
      <c r="M472" s="159"/>
      <c r="N472" s="160"/>
      <c r="O472" s="524" t="s">
        <v>88</v>
      </c>
      <c r="P472" s="525"/>
      <c r="Q472" s="525"/>
      <c r="R472" s="526"/>
      <c r="S472" s="161"/>
      <c r="T472" s="524" t="s">
        <v>89</v>
      </c>
      <c r="U472" s="525"/>
      <c r="V472" s="525"/>
      <c r="W472" s="525"/>
      <c r="X472" s="525"/>
      <c r="Y472" s="526"/>
      <c r="Z472" s="162"/>
      <c r="AA472" s="158"/>
      <c r="AB472" s="158"/>
      <c r="AC472" s="158"/>
    </row>
    <row r="473" spans="1:29" ht="18" customHeight="1" x14ac:dyDescent="0.2">
      <c r="A473" s="163"/>
      <c r="B473" s="149"/>
      <c r="C473" s="535" t="s">
        <v>177</v>
      </c>
      <c r="D473" s="531"/>
      <c r="E473" s="531"/>
      <c r="F473" s="531"/>
      <c r="G473" s="164" t="str">
        <f>$J$1</f>
        <v>September</v>
      </c>
      <c r="H473" s="536">
        <f>$K$1</f>
        <v>2024</v>
      </c>
      <c r="I473" s="531"/>
      <c r="J473" s="149"/>
      <c r="K473" s="165"/>
      <c r="L473" s="166"/>
      <c r="M473" s="167"/>
      <c r="N473" s="168"/>
      <c r="O473" s="169" t="s">
        <v>91</v>
      </c>
      <c r="P473" s="169" t="s">
        <v>92</v>
      </c>
      <c r="Q473" s="169" t="s">
        <v>93</v>
      </c>
      <c r="R473" s="169" t="s">
        <v>94</v>
      </c>
      <c r="S473" s="170"/>
      <c r="T473" s="169" t="s">
        <v>91</v>
      </c>
      <c r="U473" s="169" t="s">
        <v>95</v>
      </c>
      <c r="V473" s="169" t="s">
        <v>9</v>
      </c>
      <c r="W473" s="169" t="s">
        <v>10</v>
      </c>
      <c r="X473" s="169" t="s">
        <v>11</v>
      </c>
      <c r="Y473" s="169" t="s">
        <v>96</v>
      </c>
      <c r="Z473" s="171"/>
      <c r="AA473" s="158"/>
      <c r="AB473" s="158"/>
      <c r="AC473" s="158"/>
    </row>
    <row r="474" spans="1:29" ht="18" customHeight="1" x14ac:dyDescent="0.2">
      <c r="A474" s="163"/>
      <c r="B474" s="149"/>
      <c r="C474" s="149"/>
      <c r="D474" s="172"/>
      <c r="E474" s="172"/>
      <c r="F474" s="172"/>
      <c r="G474" s="172"/>
      <c r="H474" s="172"/>
      <c r="I474" s="149"/>
      <c r="J474" s="173" t="s">
        <v>97</v>
      </c>
      <c r="K474" s="151">
        <f>25000+2500+2000+2000+3000</f>
        <v>34500</v>
      </c>
      <c r="L474" s="174"/>
      <c r="M474" s="158"/>
      <c r="N474" s="175"/>
      <c r="O474" s="176" t="s">
        <v>98</v>
      </c>
      <c r="P474" s="176">
        <v>31</v>
      </c>
      <c r="Q474" s="176">
        <v>0</v>
      </c>
      <c r="R474" s="176">
        <v>0</v>
      </c>
      <c r="S474" s="177"/>
      <c r="T474" s="176" t="s">
        <v>98</v>
      </c>
      <c r="U474" s="178"/>
      <c r="V474" s="178"/>
      <c r="W474" s="178">
        <f>V474+U474</f>
        <v>0</v>
      </c>
      <c r="X474" s="178"/>
      <c r="Y474" s="178">
        <f>W474-X474</f>
        <v>0</v>
      </c>
      <c r="Z474" s="171"/>
      <c r="AA474" s="158"/>
      <c r="AB474" s="158"/>
      <c r="AC474" s="158"/>
    </row>
    <row r="475" spans="1:29" ht="18" customHeight="1" x14ac:dyDescent="0.2">
      <c r="A475" s="163"/>
      <c r="B475" s="149" t="s">
        <v>99</v>
      </c>
      <c r="C475" s="148" t="s">
        <v>178</v>
      </c>
      <c r="D475" s="149"/>
      <c r="E475" s="149"/>
      <c r="F475" s="149"/>
      <c r="G475" s="149"/>
      <c r="H475" s="179"/>
      <c r="I475" s="172"/>
      <c r="J475" s="149"/>
      <c r="K475" s="149"/>
      <c r="L475" s="180"/>
      <c r="M475" s="159"/>
      <c r="N475" s="181"/>
      <c r="O475" s="176" t="s">
        <v>100</v>
      </c>
      <c r="P475" s="176">
        <v>29</v>
      </c>
      <c r="Q475" s="176">
        <v>0</v>
      </c>
      <c r="R475" s="176">
        <v>0</v>
      </c>
      <c r="S475" s="156"/>
      <c r="T475" s="176" t="s">
        <v>100</v>
      </c>
      <c r="U475" s="182">
        <f>IF($J$1="January","",Y474)</f>
        <v>0</v>
      </c>
      <c r="V475" s="178"/>
      <c r="W475" s="182">
        <f t="shared" ref="W475:W485" si="141">IF(U475="","",U475+V475)</f>
        <v>0</v>
      </c>
      <c r="X475" s="178"/>
      <c r="Y475" s="182">
        <f t="shared" ref="Y475:Y485" si="142">IF(W475="","",W475-X475)</f>
        <v>0</v>
      </c>
      <c r="Z475" s="183"/>
      <c r="AA475" s="158"/>
      <c r="AB475" s="158"/>
      <c r="AC475" s="158"/>
    </row>
    <row r="476" spans="1:29" ht="18" customHeight="1" x14ac:dyDescent="0.2">
      <c r="A476" s="163"/>
      <c r="B476" s="184" t="s">
        <v>101</v>
      </c>
      <c r="C476" s="185"/>
      <c r="D476" s="149"/>
      <c r="E476" s="149"/>
      <c r="F476" s="529" t="s">
        <v>89</v>
      </c>
      <c r="G476" s="503"/>
      <c r="H476" s="149"/>
      <c r="I476" s="529" t="s">
        <v>102</v>
      </c>
      <c r="J476" s="502"/>
      <c r="K476" s="503"/>
      <c r="L476" s="186"/>
      <c r="M476" s="158"/>
      <c r="N476" s="175"/>
      <c r="O476" s="176" t="s">
        <v>103</v>
      </c>
      <c r="P476" s="176">
        <v>31</v>
      </c>
      <c r="Q476" s="176">
        <v>0</v>
      </c>
      <c r="R476" s="176">
        <v>0</v>
      </c>
      <c r="S476" s="156"/>
      <c r="T476" s="176" t="s">
        <v>103</v>
      </c>
      <c r="U476" s="182">
        <f>IF($J$1="February","",Y475)</f>
        <v>0</v>
      </c>
      <c r="V476" s="178"/>
      <c r="W476" s="182">
        <f t="shared" si="141"/>
        <v>0</v>
      </c>
      <c r="X476" s="178"/>
      <c r="Y476" s="182">
        <f t="shared" si="142"/>
        <v>0</v>
      </c>
      <c r="Z476" s="183"/>
      <c r="AA476" s="158"/>
      <c r="AB476" s="158"/>
      <c r="AC476" s="158"/>
    </row>
    <row r="477" spans="1:29" ht="18" customHeight="1" x14ac:dyDescent="0.2">
      <c r="A477" s="163"/>
      <c r="B477" s="149"/>
      <c r="C477" s="149"/>
      <c r="D477" s="149"/>
      <c r="E477" s="149"/>
      <c r="F477" s="149"/>
      <c r="G477" s="149"/>
      <c r="H477" s="187"/>
      <c r="I477" s="149"/>
      <c r="J477" s="149"/>
      <c r="K477" s="149"/>
      <c r="L477" s="188"/>
      <c r="M477" s="158"/>
      <c r="N477" s="175"/>
      <c r="O477" s="176" t="s">
        <v>104</v>
      </c>
      <c r="P477" s="176">
        <v>30</v>
      </c>
      <c r="Q477" s="176">
        <v>0</v>
      </c>
      <c r="R477" s="176">
        <v>0</v>
      </c>
      <c r="S477" s="156"/>
      <c r="T477" s="176" t="s">
        <v>104</v>
      </c>
      <c r="U477" s="182">
        <f>IF($J$1="March","",Y476)</f>
        <v>0</v>
      </c>
      <c r="V477" s="178"/>
      <c r="W477" s="182">
        <f t="shared" si="141"/>
        <v>0</v>
      </c>
      <c r="X477" s="178"/>
      <c r="Y477" s="182">
        <f t="shared" si="142"/>
        <v>0</v>
      </c>
      <c r="Z477" s="183"/>
      <c r="AA477" s="158"/>
      <c r="AB477" s="158"/>
      <c r="AC477" s="158"/>
    </row>
    <row r="478" spans="1:29" ht="18" customHeight="1" x14ac:dyDescent="0.2">
      <c r="A478" s="163"/>
      <c r="B478" s="527" t="s">
        <v>88</v>
      </c>
      <c r="C478" s="503"/>
      <c r="D478" s="149"/>
      <c r="E478" s="149"/>
      <c r="F478" s="189" t="s">
        <v>105</v>
      </c>
      <c r="G478" s="190">
        <f>IF($J$1="January",U474,IF($J$1="February",U475,IF($J$1="March",U476,IF($J$1="April",U477,IF($J$1="May",U478,IF($J$1="June",U479,IF($J$1="July",U480,IF($J$1="August",U481,IF($J$1="August",U481,IF($J$1="September",U482,IF($J$1="October",U483,IF($J$1="November",U484,IF($J$1="December",U485)))))))))))))</f>
        <v>0</v>
      </c>
      <c r="H478" s="187"/>
      <c r="I478" s="191">
        <f>IF(C482&gt;=C481,$K$2,C480+C482)</f>
        <v>30</v>
      </c>
      <c r="J478" s="192" t="s">
        <v>106</v>
      </c>
      <c r="K478" s="193">
        <f>K474/$K$2*I478</f>
        <v>34500</v>
      </c>
      <c r="L478" s="194"/>
      <c r="M478" s="158"/>
      <c r="N478" s="175"/>
      <c r="O478" s="176" t="s">
        <v>107</v>
      </c>
      <c r="P478" s="176">
        <v>31</v>
      </c>
      <c r="Q478" s="176">
        <v>0</v>
      </c>
      <c r="R478" s="176">
        <v>0</v>
      </c>
      <c r="S478" s="156"/>
      <c r="T478" s="176" t="s">
        <v>107</v>
      </c>
      <c r="U478" s="182">
        <f>IF($J$1="April","",Y477)</f>
        <v>0</v>
      </c>
      <c r="V478" s="178"/>
      <c r="W478" s="182">
        <f t="shared" si="141"/>
        <v>0</v>
      </c>
      <c r="X478" s="178"/>
      <c r="Y478" s="182">
        <f t="shared" si="142"/>
        <v>0</v>
      </c>
      <c r="Z478" s="183"/>
      <c r="AA478" s="158"/>
      <c r="AB478" s="158"/>
      <c r="AC478" s="158"/>
    </row>
    <row r="479" spans="1:29" ht="18" customHeight="1" x14ac:dyDescent="0.2">
      <c r="A479" s="163"/>
      <c r="B479" s="195"/>
      <c r="C479" s="195"/>
      <c r="D479" s="149"/>
      <c r="E479" s="149"/>
      <c r="F479" s="189" t="s">
        <v>9</v>
      </c>
      <c r="G479" s="190">
        <f>IF($J$1="January",V474,IF($J$1="February",V475,IF($J$1="March",V476,IF($J$1="April",V477,IF($J$1="May",V478,IF($J$1="June",V479,IF($J$1="July",V480,IF($J$1="August",V481,IF($J$1="August",V481,IF($J$1="September",V482,IF($J$1="October",V483,IF($J$1="November",V484,IF($J$1="December",V485)))))))))))))</f>
        <v>0</v>
      </c>
      <c r="H479" s="187"/>
      <c r="I479" s="191">
        <v>39</v>
      </c>
      <c r="J479" s="192" t="s">
        <v>108</v>
      </c>
      <c r="K479" s="190">
        <f>K474/$K$2/8*I479</f>
        <v>5606.25</v>
      </c>
      <c r="L479" s="196"/>
      <c r="M479" s="158"/>
      <c r="N479" s="175"/>
      <c r="O479" s="176" t="s">
        <v>84</v>
      </c>
      <c r="P479" s="176">
        <v>30</v>
      </c>
      <c r="Q479" s="176"/>
      <c r="R479" s="176">
        <v>0</v>
      </c>
      <c r="S479" s="156"/>
      <c r="T479" s="176" t="s">
        <v>84</v>
      </c>
      <c r="U479" s="182">
        <f>IF($J$1="May","",Y478)</f>
        <v>0</v>
      </c>
      <c r="V479" s="178"/>
      <c r="W479" s="182">
        <f t="shared" si="141"/>
        <v>0</v>
      </c>
      <c r="X479" s="178"/>
      <c r="Y479" s="182">
        <f t="shared" si="142"/>
        <v>0</v>
      </c>
      <c r="Z479" s="183"/>
      <c r="AA479" s="158"/>
      <c r="AB479" s="158"/>
      <c r="AC479" s="158"/>
    </row>
    <row r="480" spans="1:29" ht="18" customHeight="1" x14ac:dyDescent="0.2">
      <c r="A480" s="163"/>
      <c r="B480" s="189" t="s">
        <v>92</v>
      </c>
      <c r="C480" s="195">
        <f>IF($J$1="January",P474,IF($J$1="February",P475,IF($J$1="March",P476,IF($J$1="April",P477,IF($J$1="May",P478,IF($J$1="June",P479,IF($J$1="July",P480,IF($J$1="August",P481,IF($J$1="August",P481,IF($J$1="September",P482,IF($J$1="October",P483,IF($J$1="November",P484,IF($J$1="December",P485)))))))))))))</f>
        <v>30</v>
      </c>
      <c r="D480" s="149"/>
      <c r="E480" s="149"/>
      <c r="F480" s="189" t="s">
        <v>109</v>
      </c>
      <c r="G480" s="190">
        <f>IF($J$1="January",W474,IF($J$1="February",W475,IF($J$1="March",W476,IF($J$1="April",W477,IF($J$1="May",W478,IF($J$1="June",W479,IF($J$1="July",W480,IF($J$1="August",W481,IF($J$1="August",W481,IF($J$1="September",W482,IF($J$1="October",W483,IF($J$1="November",W484,IF($J$1="December",W485)))))))))))))</f>
        <v>0</v>
      </c>
      <c r="H480" s="187"/>
      <c r="I480" s="528" t="s">
        <v>110</v>
      </c>
      <c r="J480" s="503"/>
      <c r="K480" s="190">
        <f>K478+K479</f>
        <v>40106.25</v>
      </c>
      <c r="L480" s="196"/>
      <c r="M480" s="158"/>
      <c r="N480" s="175"/>
      <c r="O480" s="176" t="s">
        <v>111</v>
      </c>
      <c r="P480" s="176">
        <v>31</v>
      </c>
      <c r="Q480" s="176">
        <v>0</v>
      </c>
      <c r="R480" s="176">
        <v>0</v>
      </c>
      <c r="S480" s="156"/>
      <c r="T480" s="176" t="s">
        <v>111</v>
      </c>
      <c r="U480" s="182">
        <f>IF($J$1="June","",Y479)</f>
        <v>0</v>
      </c>
      <c r="V480" s="178"/>
      <c r="W480" s="182">
        <f t="shared" si="141"/>
        <v>0</v>
      </c>
      <c r="X480" s="178"/>
      <c r="Y480" s="182">
        <f t="shared" si="142"/>
        <v>0</v>
      </c>
      <c r="Z480" s="183"/>
      <c r="AA480" s="158"/>
      <c r="AB480" s="158"/>
      <c r="AC480" s="158"/>
    </row>
    <row r="481" spans="1:29" ht="18" customHeight="1" x14ac:dyDescent="0.2">
      <c r="A481" s="163"/>
      <c r="B481" s="189" t="s">
        <v>93</v>
      </c>
      <c r="C481" s="195">
        <f>IF($J$1="January",Q474,IF($J$1="February",Q475,IF($J$1="March",Q476,IF($J$1="April",Q477,IF($J$1="May",Q478,IF($J$1="June",Q479,IF($J$1="July",Q480,IF($J$1="August",Q481,IF($J$1="August",Q481,IF($J$1="September",Q482,IF($J$1="October",Q483,IF($J$1="November",Q484,IF($J$1="December",Q485)))))))))))))</f>
        <v>0</v>
      </c>
      <c r="D481" s="149"/>
      <c r="E481" s="149"/>
      <c r="F481" s="189" t="s">
        <v>11</v>
      </c>
      <c r="G481" s="190">
        <f>IF($J$1="January",X474,IF($J$1="February",X475,IF($J$1="March",X476,IF($J$1="April",X477,IF($J$1="May",X478,IF($J$1="June",X479,IF($J$1="July",X480,IF($J$1="August",X481,IF($J$1="August",X481,IF($J$1="September",X482,IF($J$1="October",X483,IF($J$1="November",X484,IF($J$1="December",X485)))))))))))))</f>
        <v>0</v>
      </c>
      <c r="H481" s="187"/>
      <c r="I481" s="528" t="s">
        <v>112</v>
      </c>
      <c r="J481" s="503"/>
      <c r="K481" s="190">
        <f>G481</f>
        <v>0</v>
      </c>
      <c r="L481" s="196"/>
      <c r="M481" s="158"/>
      <c r="N481" s="175"/>
      <c r="O481" s="176" t="s">
        <v>113</v>
      </c>
      <c r="P481" s="176">
        <v>31</v>
      </c>
      <c r="Q481" s="176">
        <v>0</v>
      </c>
      <c r="R481" s="176">
        <v>0</v>
      </c>
      <c r="S481" s="156"/>
      <c r="T481" s="176" t="s">
        <v>113</v>
      </c>
      <c r="U481" s="182">
        <f>IF($J$1="July","",Y480)</f>
        <v>0</v>
      </c>
      <c r="V481" s="178"/>
      <c r="W481" s="182">
        <f t="shared" si="141"/>
        <v>0</v>
      </c>
      <c r="X481" s="178"/>
      <c r="Y481" s="182">
        <f t="shared" si="142"/>
        <v>0</v>
      </c>
      <c r="Z481" s="183"/>
      <c r="AA481" s="158"/>
      <c r="AB481" s="158"/>
      <c r="AC481" s="158"/>
    </row>
    <row r="482" spans="1:29" ht="18" customHeight="1" x14ac:dyDescent="0.2">
      <c r="A482" s="163"/>
      <c r="B482" s="204" t="s">
        <v>114</v>
      </c>
      <c r="C482" s="195">
        <f>IF($J$1="January",R474,IF($J$1="February",R475,IF($J$1="March",R476,IF($J$1="April",R477,IF($J$1="May",R478,IF($J$1="June",R479,IF($J$1="July",R480,IF($J$1="August",R481,IF($J$1="August",R481,IF($J$1="September",R482,IF($J$1="October",R483,IF($J$1="November",R484,IF($J$1="December",R485)))))))))))))</f>
        <v>0</v>
      </c>
      <c r="D482" s="149"/>
      <c r="E482" s="149"/>
      <c r="F482" s="204" t="s">
        <v>115</v>
      </c>
      <c r="G482" s="190">
        <f>IF($J$1="January",Y474,IF($J$1="February",Y475,IF($J$1="March",Y476,IF($J$1="April",Y477,IF($J$1="May",Y478,IF($J$1="June",Y479,IF($J$1="July",Y480,IF($J$1="August",Y481,IF($J$1="August",Y481,IF($J$1="September",Y482,IF($J$1="October",Y483,IF($J$1="November",Y484,IF($J$1="December",Y485)))))))))))))</f>
        <v>0</v>
      </c>
      <c r="H482" s="149"/>
      <c r="I482" s="529" t="s">
        <v>13</v>
      </c>
      <c r="J482" s="503"/>
      <c r="K482" s="37">
        <f>K480-K481</f>
        <v>40106.25</v>
      </c>
      <c r="L482" s="180"/>
      <c r="M482" s="158"/>
      <c r="N482" s="175"/>
      <c r="O482" s="176" t="s">
        <v>116</v>
      </c>
      <c r="P482" s="176">
        <v>30</v>
      </c>
      <c r="Q482" s="176">
        <v>0</v>
      </c>
      <c r="R482" s="176">
        <v>0</v>
      </c>
      <c r="S482" s="156"/>
      <c r="T482" s="176" t="s">
        <v>116</v>
      </c>
      <c r="U482" s="182">
        <f>IF($J$1="September",Y481,"")</f>
        <v>0</v>
      </c>
      <c r="V482" s="178"/>
      <c r="W482" s="182">
        <f t="shared" si="141"/>
        <v>0</v>
      </c>
      <c r="X482" s="178"/>
      <c r="Y482" s="182">
        <f t="shared" si="142"/>
        <v>0</v>
      </c>
      <c r="Z482" s="183"/>
      <c r="AA482" s="158"/>
      <c r="AB482" s="158"/>
      <c r="AC482" s="158"/>
    </row>
    <row r="483" spans="1:29" ht="18" customHeight="1" x14ac:dyDescent="0.2">
      <c r="A483" s="163"/>
      <c r="B483" s="149"/>
      <c r="C483" s="149"/>
      <c r="D483" s="149"/>
      <c r="E483" s="149"/>
      <c r="F483" s="149"/>
      <c r="G483" s="149"/>
      <c r="H483" s="149"/>
      <c r="I483" s="530"/>
      <c r="J483" s="531"/>
      <c r="K483" s="151"/>
      <c r="L483" s="186"/>
      <c r="M483" s="158"/>
      <c r="N483" s="175"/>
      <c r="O483" s="176" t="s">
        <v>117</v>
      </c>
      <c r="P483" s="176"/>
      <c r="Q483" s="176"/>
      <c r="R483" s="176">
        <v>0</v>
      </c>
      <c r="S483" s="156"/>
      <c r="T483" s="176" t="s">
        <v>117</v>
      </c>
      <c r="U483" s="182" t="str">
        <f>IF($J$1="October",Y482,"")</f>
        <v/>
      </c>
      <c r="V483" s="178"/>
      <c r="W483" s="182" t="str">
        <f t="shared" si="141"/>
        <v/>
      </c>
      <c r="X483" s="178"/>
      <c r="Y483" s="182" t="str">
        <f t="shared" si="142"/>
        <v/>
      </c>
      <c r="Z483" s="183"/>
      <c r="AA483" s="158"/>
      <c r="AB483" s="158"/>
      <c r="AC483" s="158"/>
    </row>
    <row r="484" spans="1:29" ht="18" customHeight="1" x14ac:dyDescent="0.3">
      <c r="A484" s="163"/>
      <c r="B484" s="147"/>
      <c r="C484" s="147"/>
      <c r="D484" s="147"/>
      <c r="E484" s="147"/>
      <c r="F484" s="147"/>
      <c r="G484" s="147"/>
      <c r="H484" s="147"/>
      <c r="I484" s="530"/>
      <c r="J484" s="531"/>
      <c r="K484" s="151"/>
      <c r="L484" s="186"/>
      <c r="M484" s="158"/>
      <c r="N484" s="175"/>
      <c r="O484" s="176" t="s">
        <v>118</v>
      </c>
      <c r="P484" s="176"/>
      <c r="Q484" s="176"/>
      <c r="R484" s="176">
        <v>0</v>
      </c>
      <c r="S484" s="156"/>
      <c r="T484" s="176" t="s">
        <v>118</v>
      </c>
      <c r="U484" s="182"/>
      <c r="V484" s="178"/>
      <c r="W484" s="182" t="str">
        <f t="shared" si="141"/>
        <v/>
      </c>
      <c r="X484" s="178"/>
      <c r="Y484" s="182" t="str">
        <f t="shared" si="142"/>
        <v/>
      </c>
      <c r="Z484" s="183"/>
      <c r="AA484" s="158"/>
      <c r="AB484" s="158"/>
      <c r="AC484" s="158"/>
    </row>
    <row r="485" spans="1:29" ht="18" customHeight="1" thickBot="1" x14ac:dyDescent="0.35">
      <c r="A485" s="197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9"/>
      <c r="M485" s="158"/>
      <c r="N485" s="175"/>
      <c r="O485" s="176" t="s">
        <v>119</v>
      </c>
      <c r="P485" s="176"/>
      <c r="Q485" s="176"/>
      <c r="R485" s="176">
        <v>0</v>
      </c>
      <c r="S485" s="156"/>
      <c r="T485" s="176" t="s">
        <v>119</v>
      </c>
      <c r="U485" s="182"/>
      <c r="V485" s="178"/>
      <c r="W485" s="182" t="str">
        <f t="shared" si="141"/>
        <v/>
      </c>
      <c r="X485" s="178"/>
      <c r="Y485" s="182" t="str">
        <f t="shared" si="142"/>
        <v/>
      </c>
      <c r="Z485" s="183"/>
      <c r="AA485" s="158"/>
      <c r="AB485" s="158"/>
      <c r="AC485" s="158"/>
    </row>
    <row r="486" spans="1:29" ht="18" customHeight="1" thickBot="1" x14ac:dyDescent="0.25">
      <c r="A486" s="200"/>
      <c r="B486" s="200"/>
      <c r="C486" s="200"/>
      <c r="D486" s="200"/>
      <c r="E486" s="200"/>
      <c r="F486" s="200"/>
      <c r="G486" s="200"/>
      <c r="H486" s="200"/>
      <c r="I486" s="200"/>
      <c r="J486" s="200"/>
      <c r="K486" s="200"/>
      <c r="L486" s="200"/>
      <c r="M486" s="201"/>
      <c r="N486" s="202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  <c r="AA486" s="201"/>
      <c r="AB486" s="201"/>
      <c r="AC486" s="201"/>
    </row>
    <row r="487" spans="1:29" ht="18" customHeight="1" thickBot="1" x14ac:dyDescent="0.25">
      <c r="A487" s="532" t="s">
        <v>87</v>
      </c>
      <c r="B487" s="533"/>
      <c r="C487" s="533"/>
      <c r="D487" s="533"/>
      <c r="E487" s="533"/>
      <c r="F487" s="533"/>
      <c r="G487" s="533"/>
      <c r="H487" s="533"/>
      <c r="I487" s="533"/>
      <c r="J487" s="533"/>
      <c r="K487" s="533"/>
      <c r="L487" s="534"/>
      <c r="M487" s="159"/>
      <c r="N487" s="160"/>
      <c r="O487" s="524" t="s">
        <v>88</v>
      </c>
      <c r="P487" s="525"/>
      <c r="Q487" s="525"/>
      <c r="R487" s="526"/>
      <c r="S487" s="161"/>
      <c r="T487" s="524" t="s">
        <v>89</v>
      </c>
      <c r="U487" s="525"/>
      <c r="V487" s="525"/>
      <c r="W487" s="525"/>
      <c r="X487" s="525"/>
      <c r="Y487" s="526"/>
      <c r="Z487" s="162"/>
      <c r="AA487" s="159"/>
      <c r="AB487" s="158"/>
      <c r="AC487" s="158"/>
    </row>
    <row r="488" spans="1:29" ht="18" customHeight="1" x14ac:dyDescent="0.2">
      <c r="A488" s="163"/>
      <c r="B488" s="149"/>
      <c r="C488" s="535" t="s">
        <v>179</v>
      </c>
      <c r="D488" s="531"/>
      <c r="E488" s="531"/>
      <c r="F488" s="531"/>
      <c r="G488" s="164" t="str">
        <f>$J$1</f>
        <v>September</v>
      </c>
      <c r="H488" s="536">
        <f>$K$1</f>
        <v>2024</v>
      </c>
      <c r="I488" s="531"/>
      <c r="J488" s="149"/>
      <c r="K488" s="165"/>
      <c r="L488" s="166"/>
      <c r="M488" s="167"/>
      <c r="N488" s="168"/>
      <c r="O488" s="169" t="s">
        <v>91</v>
      </c>
      <c r="P488" s="169" t="s">
        <v>92</v>
      </c>
      <c r="Q488" s="169" t="s">
        <v>93</v>
      </c>
      <c r="R488" s="169" t="s">
        <v>94</v>
      </c>
      <c r="S488" s="170"/>
      <c r="T488" s="169" t="s">
        <v>91</v>
      </c>
      <c r="U488" s="169" t="s">
        <v>95</v>
      </c>
      <c r="V488" s="169" t="s">
        <v>9</v>
      </c>
      <c r="W488" s="169" t="s">
        <v>10</v>
      </c>
      <c r="X488" s="169" t="s">
        <v>11</v>
      </c>
      <c r="Y488" s="169" t="s">
        <v>96</v>
      </c>
      <c r="Z488" s="171"/>
      <c r="AA488" s="167"/>
      <c r="AB488" s="158"/>
      <c r="AC488" s="158"/>
    </row>
    <row r="489" spans="1:29" ht="18" customHeight="1" x14ac:dyDescent="0.2">
      <c r="A489" s="163"/>
      <c r="B489" s="149"/>
      <c r="C489" s="149"/>
      <c r="D489" s="172"/>
      <c r="E489" s="172"/>
      <c r="F489" s="172"/>
      <c r="G489" s="172"/>
      <c r="H489" s="172"/>
      <c r="I489" s="149"/>
      <c r="J489" s="173" t="s">
        <v>97</v>
      </c>
      <c r="K489" s="151">
        <f>22500+2500+2000+3000</f>
        <v>30000</v>
      </c>
      <c r="L489" s="174"/>
      <c r="M489" s="158"/>
      <c r="N489" s="175"/>
      <c r="O489" s="176" t="s">
        <v>98</v>
      </c>
      <c r="P489" s="176">
        <v>31</v>
      </c>
      <c r="Q489" s="176">
        <v>0</v>
      </c>
      <c r="R489" s="176">
        <v>0</v>
      </c>
      <c r="S489" s="177"/>
      <c r="T489" s="176" t="s">
        <v>98</v>
      </c>
      <c r="U489" s="178">
        <v>55000</v>
      </c>
      <c r="V489" s="178"/>
      <c r="W489" s="178">
        <f>V489+U489</f>
        <v>55000</v>
      </c>
      <c r="X489" s="178"/>
      <c r="Y489" s="178">
        <f>W489-X489</f>
        <v>55000</v>
      </c>
      <c r="Z489" s="171"/>
      <c r="AA489" s="158"/>
      <c r="AB489" s="158"/>
      <c r="AC489" s="158"/>
    </row>
    <row r="490" spans="1:29" ht="18" customHeight="1" x14ac:dyDescent="0.2">
      <c r="A490" s="163"/>
      <c r="B490" s="149" t="s">
        <v>99</v>
      </c>
      <c r="C490" s="148" t="s">
        <v>180</v>
      </c>
      <c r="D490" s="149"/>
      <c r="E490" s="149"/>
      <c r="F490" s="149"/>
      <c r="G490" s="149"/>
      <c r="H490" s="179"/>
      <c r="I490" s="172"/>
      <c r="J490" s="149"/>
      <c r="K490" s="149"/>
      <c r="L490" s="180"/>
      <c r="M490" s="159"/>
      <c r="N490" s="181"/>
      <c r="O490" s="176" t="s">
        <v>100</v>
      </c>
      <c r="P490" s="176">
        <v>29</v>
      </c>
      <c r="Q490" s="176">
        <v>0</v>
      </c>
      <c r="R490" s="176">
        <v>0</v>
      </c>
      <c r="S490" s="156"/>
      <c r="T490" s="176" t="s">
        <v>100</v>
      </c>
      <c r="U490" s="182">
        <f t="shared" ref="U490:U491" si="143">Y489</f>
        <v>55000</v>
      </c>
      <c r="V490" s="178"/>
      <c r="W490" s="182">
        <f t="shared" ref="W490:W500" si="144">IF(U490="","",U490+V490)</f>
        <v>55000</v>
      </c>
      <c r="X490" s="178">
        <v>5000</v>
      </c>
      <c r="Y490" s="182">
        <f t="shared" ref="Y490:Y500" si="145">IF(W490="","",W490-X490)</f>
        <v>50000</v>
      </c>
      <c r="Z490" s="183"/>
      <c r="AA490" s="159"/>
      <c r="AB490" s="158"/>
      <c r="AC490" s="158"/>
    </row>
    <row r="491" spans="1:29" ht="18" customHeight="1" x14ac:dyDescent="0.2">
      <c r="A491" s="163"/>
      <c r="B491" s="184" t="s">
        <v>101</v>
      </c>
      <c r="C491" s="185"/>
      <c r="D491" s="149"/>
      <c r="E491" s="149"/>
      <c r="F491" s="529" t="s">
        <v>89</v>
      </c>
      <c r="G491" s="503"/>
      <c r="H491" s="149"/>
      <c r="I491" s="529" t="s">
        <v>102</v>
      </c>
      <c r="J491" s="502"/>
      <c r="K491" s="503"/>
      <c r="L491" s="186"/>
      <c r="M491" s="158"/>
      <c r="N491" s="175"/>
      <c r="O491" s="176" t="s">
        <v>103</v>
      </c>
      <c r="P491" s="176">
        <v>31</v>
      </c>
      <c r="Q491" s="176">
        <v>0</v>
      </c>
      <c r="R491" s="176">
        <v>0</v>
      </c>
      <c r="S491" s="156"/>
      <c r="T491" s="176" t="s">
        <v>103</v>
      </c>
      <c r="U491" s="182">
        <f t="shared" si="143"/>
        <v>50000</v>
      </c>
      <c r="V491" s="178"/>
      <c r="W491" s="182">
        <f t="shared" si="144"/>
        <v>50000</v>
      </c>
      <c r="X491" s="178">
        <v>5000</v>
      </c>
      <c r="Y491" s="182">
        <f t="shared" si="145"/>
        <v>45000</v>
      </c>
      <c r="Z491" s="183"/>
      <c r="AA491" s="158"/>
      <c r="AB491" s="158"/>
      <c r="AC491" s="158"/>
    </row>
    <row r="492" spans="1:29" ht="18" customHeight="1" x14ac:dyDescent="0.2">
      <c r="A492" s="163"/>
      <c r="B492" s="149"/>
      <c r="C492" s="149"/>
      <c r="D492" s="149"/>
      <c r="E492" s="149"/>
      <c r="F492" s="149"/>
      <c r="G492" s="149"/>
      <c r="H492" s="187"/>
      <c r="I492" s="149"/>
      <c r="J492" s="149"/>
      <c r="K492" s="149"/>
      <c r="L492" s="188"/>
      <c r="M492" s="158"/>
      <c r="N492" s="175"/>
      <c r="O492" s="176" t="s">
        <v>104</v>
      </c>
      <c r="P492" s="176">
        <v>29</v>
      </c>
      <c r="Q492" s="176">
        <v>1</v>
      </c>
      <c r="R492" s="176">
        <v>0</v>
      </c>
      <c r="S492" s="156"/>
      <c r="T492" s="176" t="s">
        <v>104</v>
      </c>
      <c r="U492" s="182">
        <f>IF($J$1="March","",Y491)</f>
        <v>45000</v>
      </c>
      <c r="V492" s="178"/>
      <c r="W492" s="182">
        <f t="shared" si="144"/>
        <v>45000</v>
      </c>
      <c r="X492" s="178">
        <v>5000</v>
      </c>
      <c r="Y492" s="182">
        <f t="shared" si="145"/>
        <v>40000</v>
      </c>
      <c r="Z492" s="183"/>
      <c r="AA492" s="158"/>
      <c r="AB492" s="158"/>
      <c r="AC492" s="158"/>
    </row>
    <row r="493" spans="1:29" ht="18" customHeight="1" x14ac:dyDescent="0.2">
      <c r="A493" s="163"/>
      <c r="B493" s="527" t="s">
        <v>88</v>
      </c>
      <c r="C493" s="503"/>
      <c r="D493" s="149"/>
      <c r="E493" s="149"/>
      <c r="F493" s="189" t="s">
        <v>105</v>
      </c>
      <c r="G493" s="190">
        <f>IF($J$1="January",U489,IF($J$1="February",U490,IF($J$1="March",U491,IF($J$1="April",U492,IF($J$1="May",U493,IF($J$1="June",U494,IF($J$1="July",U495,IF($J$1="August",U496,IF($J$1="August",U496,IF($J$1="September",U497,IF($J$1="October",U498,IF($J$1="November",U499,IF($J$1="December",U500)))))))))))))</f>
        <v>25000</v>
      </c>
      <c r="H493" s="187"/>
      <c r="I493" s="191">
        <f>IF(C497&gt;=C496,$K$2,C495+C497)</f>
        <v>30</v>
      </c>
      <c r="J493" s="192" t="s">
        <v>106</v>
      </c>
      <c r="K493" s="193">
        <f>K489/$K$2*I493</f>
        <v>30000</v>
      </c>
      <c r="L493" s="194"/>
      <c r="M493" s="158"/>
      <c r="N493" s="175"/>
      <c r="O493" s="176" t="s">
        <v>107</v>
      </c>
      <c r="P493" s="176">
        <v>31</v>
      </c>
      <c r="Q493" s="176">
        <v>0</v>
      </c>
      <c r="R493" s="176">
        <v>0</v>
      </c>
      <c r="S493" s="156"/>
      <c r="T493" s="176" t="s">
        <v>107</v>
      </c>
      <c r="U493" s="182">
        <f t="shared" ref="U493:U494" si="146">Y492</f>
        <v>40000</v>
      </c>
      <c r="V493" s="178"/>
      <c r="W493" s="182">
        <f t="shared" si="144"/>
        <v>40000</v>
      </c>
      <c r="X493" s="178">
        <v>5000</v>
      </c>
      <c r="Y493" s="182">
        <f t="shared" si="145"/>
        <v>35000</v>
      </c>
      <c r="Z493" s="183"/>
      <c r="AA493" s="158"/>
      <c r="AB493" s="158"/>
      <c r="AC493" s="158"/>
    </row>
    <row r="494" spans="1:29" ht="18" customHeight="1" x14ac:dyDescent="0.2">
      <c r="A494" s="163"/>
      <c r="B494" s="195"/>
      <c r="C494" s="195"/>
      <c r="D494" s="149"/>
      <c r="E494" s="149"/>
      <c r="F494" s="189" t="s">
        <v>9</v>
      </c>
      <c r="G494" s="190">
        <f>IF($J$1="January",V489,IF($J$1="February",V490,IF($J$1="March",V491,IF($J$1="April",V492,IF($J$1="May",V493,IF($J$1="June",V494,IF($J$1="July",V495,IF($J$1="August",V496,IF($J$1="August",V496,IF($J$1="September",V497,IF($J$1="October",V498,IF($J$1="November",V499,IF($J$1="December",V500)))))))))))))</f>
        <v>0</v>
      </c>
      <c r="H494" s="187"/>
      <c r="I494" s="191">
        <v>77</v>
      </c>
      <c r="J494" s="192" t="s">
        <v>108</v>
      </c>
      <c r="K494" s="190">
        <f>K489/$K$2/8*I494</f>
        <v>9625</v>
      </c>
      <c r="L494" s="196"/>
      <c r="M494" s="158"/>
      <c r="N494" s="175"/>
      <c r="O494" s="176" t="s">
        <v>84</v>
      </c>
      <c r="P494" s="176">
        <v>30</v>
      </c>
      <c r="Q494" s="176">
        <v>0</v>
      </c>
      <c r="R494" s="176">
        <v>0</v>
      </c>
      <c r="S494" s="156"/>
      <c r="T494" s="176" t="s">
        <v>84</v>
      </c>
      <c r="U494" s="182">
        <f t="shared" si="146"/>
        <v>35000</v>
      </c>
      <c r="V494" s="178"/>
      <c r="W494" s="182">
        <f t="shared" si="144"/>
        <v>35000</v>
      </c>
      <c r="X494" s="178">
        <v>5000</v>
      </c>
      <c r="Y494" s="182">
        <f t="shared" si="145"/>
        <v>30000</v>
      </c>
      <c r="Z494" s="183"/>
      <c r="AA494" s="158"/>
      <c r="AB494" s="158"/>
      <c r="AC494" s="158"/>
    </row>
    <row r="495" spans="1:29" ht="18" customHeight="1" x14ac:dyDescent="0.2">
      <c r="A495" s="163"/>
      <c r="B495" s="189" t="s">
        <v>92</v>
      </c>
      <c r="C495" s="195">
        <f>IF($J$1="January",P489,IF($J$1="February",P490,IF($J$1="March",P491,IF($J$1="April",P492,IF($J$1="May",P493,IF($J$1="June",P494,IF($J$1="July",P495,IF($J$1="August",P496,IF($J$1="August",P496,IF($J$1="September",P497,IF($J$1="October",P498,IF($J$1="November",P499,IF($J$1="December",P500)))))))))))))</f>
        <v>30</v>
      </c>
      <c r="D495" s="149"/>
      <c r="E495" s="149"/>
      <c r="F495" s="189" t="s">
        <v>109</v>
      </c>
      <c r="G495" s="190">
        <f>IF($J$1="January",W489,IF($J$1="February",W490,IF($J$1="March",W491,IF($J$1="April",W492,IF($J$1="May",W493,IF($J$1="June",W494,IF($J$1="July",W495,IF($J$1="August",W496,IF($J$1="August",W496,IF($J$1="September",W497,IF($J$1="October",W498,IF($J$1="November",W499,IF($J$1="December",W500)))))))))))))</f>
        <v>25000</v>
      </c>
      <c r="H495" s="187"/>
      <c r="I495" s="528" t="s">
        <v>110</v>
      </c>
      <c r="J495" s="503"/>
      <c r="K495" s="190">
        <f>K493+K494</f>
        <v>39625</v>
      </c>
      <c r="L495" s="196"/>
      <c r="M495" s="158"/>
      <c r="N495" s="175"/>
      <c r="O495" s="176" t="s">
        <v>111</v>
      </c>
      <c r="P495" s="176">
        <v>31</v>
      </c>
      <c r="Q495" s="176">
        <v>0</v>
      </c>
      <c r="R495" s="176">
        <v>0</v>
      </c>
      <c r="S495" s="156"/>
      <c r="T495" s="176" t="s">
        <v>111</v>
      </c>
      <c r="U495" s="182">
        <f>Y494</f>
        <v>30000</v>
      </c>
      <c r="V495" s="178"/>
      <c r="W495" s="182">
        <f t="shared" si="144"/>
        <v>30000</v>
      </c>
      <c r="X495" s="178">
        <v>5000</v>
      </c>
      <c r="Y495" s="182">
        <f t="shared" si="145"/>
        <v>25000</v>
      </c>
      <c r="Z495" s="183"/>
      <c r="AA495" s="158"/>
      <c r="AB495" s="158"/>
      <c r="AC495" s="158"/>
    </row>
    <row r="496" spans="1:29" ht="18" customHeight="1" x14ac:dyDescent="0.2">
      <c r="A496" s="163"/>
      <c r="B496" s="189" t="s">
        <v>93</v>
      </c>
      <c r="C496" s="195">
        <f>IF($J$1="January",Q489,IF($J$1="February",Q490,IF($J$1="March",Q491,IF($J$1="April",Q492,IF($J$1="May",Q493,IF($J$1="June",Q494,IF($J$1="July",Q495,IF($J$1="August",Q496,IF($J$1="August",Q496,IF($J$1="September",Q497,IF($J$1="October",Q498,IF($J$1="November",Q499,IF($J$1="December",Q500)))))))))))))</f>
        <v>0</v>
      </c>
      <c r="D496" s="149"/>
      <c r="E496" s="149"/>
      <c r="F496" s="189" t="s">
        <v>11</v>
      </c>
      <c r="G496" s="190">
        <f>IF($J$1="January",X489,IF($J$1="February",X490,IF($J$1="March",X491,IF($J$1="April",X492,IF($J$1="May",X493,IF($J$1="June",X494,IF($J$1="July",X495,IF($J$1="August",X496,IF($J$1="August",X496,IF($J$1="September",X497,IF($J$1="October",X498,IF($J$1="November",X499,IF($J$1="December",X500)))))))))))))</f>
        <v>5000</v>
      </c>
      <c r="H496" s="187"/>
      <c r="I496" s="528" t="s">
        <v>112</v>
      </c>
      <c r="J496" s="503"/>
      <c r="K496" s="190">
        <f>G496</f>
        <v>5000</v>
      </c>
      <c r="L496" s="196"/>
      <c r="M496" s="158"/>
      <c r="N496" s="175"/>
      <c r="O496" s="176" t="s">
        <v>113</v>
      </c>
      <c r="P496" s="176">
        <v>31</v>
      </c>
      <c r="Q496" s="176">
        <v>0</v>
      </c>
      <c r="R496" s="176">
        <v>0</v>
      </c>
      <c r="S496" s="156"/>
      <c r="T496" s="176" t="s">
        <v>113</v>
      </c>
      <c r="U496" s="182">
        <f>Y495</f>
        <v>25000</v>
      </c>
      <c r="V496" s="178"/>
      <c r="W496" s="182">
        <f t="shared" si="144"/>
        <v>25000</v>
      </c>
      <c r="X496" s="178"/>
      <c r="Y496" s="182">
        <f t="shared" si="145"/>
        <v>25000</v>
      </c>
      <c r="Z496" s="183"/>
      <c r="AA496" s="158"/>
      <c r="AB496" s="158"/>
      <c r="AC496" s="158"/>
    </row>
    <row r="497" spans="1:29" ht="18" customHeight="1" x14ac:dyDescent="0.2">
      <c r="A497" s="163"/>
      <c r="B497" s="204" t="s">
        <v>114</v>
      </c>
      <c r="C497" s="195">
        <f>IF($J$1="January",R489,IF($J$1="February",R490,IF($J$1="March",R491,IF($J$1="April",R492,IF($J$1="May",R493,IF($J$1="June",R494,IF($J$1="July",R495,IF($J$1="August",R496,IF($J$1="August",R496,IF($J$1="September",R497,IF($J$1="October",R498,IF($J$1="November",R499,IF($J$1="December",R500)))))))))))))</f>
        <v>0</v>
      </c>
      <c r="D497" s="149"/>
      <c r="E497" s="149"/>
      <c r="F497" s="204" t="s">
        <v>115</v>
      </c>
      <c r="G497" s="190">
        <f>IF($J$1="January",Y489,IF($J$1="February",Y490,IF($J$1="March",Y491,IF($J$1="April",Y492,IF($J$1="May",Y493,IF($J$1="June",Y494,IF($J$1="July",Y495,IF($J$1="August",Y496,IF($J$1="August",Y496,IF($J$1="September",Y497,IF($J$1="October",Y498,IF($J$1="November",Y499,IF($J$1="December",Y500)))))))))))))</f>
        <v>20000</v>
      </c>
      <c r="H497" s="149"/>
      <c r="I497" s="529" t="s">
        <v>13</v>
      </c>
      <c r="J497" s="503"/>
      <c r="K497" s="37">
        <f>K495-K496</f>
        <v>34625</v>
      </c>
      <c r="L497" s="180"/>
      <c r="M497" s="158"/>
      <c r="N497" s="175"/>
      <c r="O497" s="176" t="s">
        <v>116</v>
      </c>
      <c r="P497" s="176">
        <v>30</v>
      </c>
      <c r="Q497" s="176">
        <v>0</v>
      </c>
      <c r="R497" s="176">
        <v>0</v>
      </c>
      <c r="S497" s="156"/>
      <c r="T497" s="176" t="s">
        <v>116</v>
      </c>
      <c r="U497" s="182">
        <f>Y496</f>
        <v>25000</v>
      </c>
      <c r="V497" s="178"/>
      <c r="W497" s="182">
        <f t="shared" si="144"/>
        <v>25000</v>
      </c>
      <c r="X497" s="178">
        <v>5000</v>
      </c>
      <c r="Y497" s="182">
        <f t="shared" si="145"/>
        <v>20000</v>
      </c>
      <c r="Z497" s="183"/>
      <c r="AA497" s="158"/>
      <c r="AB497" s="158"/>
      <c r="AC497" s="158"/>
    </row>
    <row r="498" spans="1:29" ht="18" customHeight="1" x14ac:dyDescent="0.2">
      <c r="A498" s="163"/>
      <c r="B498" s="149"/>
      <c r="C498" s="149"/>
      <c r="D498" s="149"/>
      <c r="E498" s="149"/>
      <c r="F498" s="149"/>
      <c r="G498" s="149"/>
      <c r="H498" s="149"/>
      <c r="I498" s="530"/>
      <c r="J498" s="531"/>
      <c r="K498" s="151"/>
      <c r="L498" s="186"/>
      <c r="M498" s="158"/>
      <c r="N498" s="175"/>
      <c r="O498" s="176" t="s">
        <v>117</v>
      </c>
      <c r="P498" s="176"/>
      <c r="Q498" s="176"/>
      <c r="R498" s="176">
        <v>0</v>
      </c>
      <c r="S498" s="156"/>
      <c r="T498" s="176" t="s">
        <v>117</v>
      </c>
      <c r="U498" s="182"/>
      <c r="V498" s="178"/>
      <c r="W498" s="182" t="str">
        <f t="shared" si="144"/>
        <v/>
      </c>
      <c r="X498" s="178"/>
      <c r="Y498" s="182" t="str">
        <f t="shared" si="145"/>
        <v/>
      </c>
      <c r="Z498" s="183"/>
      <c r="AA498" s="158"/>
      <c r="AB498" s="158"/>
      <c r="AC498" s="158"/>
    </row>
    <row r="499" spans="1:29" ht="18" customHeight="1" x14ac:dyDescent="0.3">
      <c r="A499" s="163"/>
      <c r="B499" s="147"/>
      <c r="C499" s="147"/>
      <c r="D499" s="147"/>
      <c r="E499" s="147"/>
      <c r="F499" s="147"/>
      <c r="G499" s="147"/>
      <c r="H499" s="147"/>
      <c r="I499" s="530"/>
      <c r="J499" s="531"/>
      <c r="K499" s="151"/>
      <c r="L499" s="186"/>
      <c r="M499" s="158"/>
      <c r="N499" s="175"/>
      <c r="O499" s="176" t="s">
        <v>118</v>
      </c>
      <c r="P499" s="176"/>
      <c r="Q499" s="176"/>
      <c r="R499" s="176">
        <v>0</v>
      </c>
      <c r="S499" s="156"/>
      <c r="T499" s="176" t="s">
        <v>118</v>
      </c>
      <c r="U499" s="182"/>
      <c r="V499" s="178"/>
      <c r="W499" s="182" t="str">
        <f t="shared" si="144"/>
        <v/>
      </c>
      <c r="X499" s="178"/>
      <c r="Y499" s="182" t="str">
        <f t="shared" si="145"/>
        <v/>
      </c>
      <c r="Z499" s="183"/>
      <c r="AA499" s="158"/>
      <c r="AB499" s="158"/>
      <c r="AC499" s="158"/>
    </row>
    <row r="500" spans="1:29" ht="18" customHeight="1" thickBot="1" x14ac:dyDescent="0.35">
      <c r="A500" s="197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9"/>
      <c r="M500" s="158"/>
      <c r="N500" s="175"/>
      <c r="O500" s="176" t="s">
        <v>119</v>
      </c>
      <c r="P500" s="176"/>
      <c r="Q500" s="176"/>
      <c r="R500" s="176">
        <v>0</v>
      </c>
      <c r="S500" s="156"/>
      <c r="T500" s="176" t="s">
        <v>119</v>
      </c>
      <c r="U500" s="182"/>
      <c r="V500" s="178"/>
      <c r="W500" s="182" t="str">
        <f t="shared" si="144"/>
        <v/>
      </c>
      <c r="X500" s="178"/>
      <c r="Y500" s="182" t="str">
        <f t="shared" si="145"/>
        <v/>
      </c>
      <c r="Z500" s="183"/>
      <c r="AA500" s="158"/>
      <c r="AB500" s="158"/>
      <c r="AC500" s="158"/>
    </row>
    <row r="501" spans="1:29" ht="18" customHeight="1" thickBot="1" x14ac:dyDescent="0.25">
      <c r="A501" s="200"/>
      <c r="B501" s="200"/>
      <c r="C501" s="200"/>
      <c r="D501" s="200"/>
      <c r="E501" s="200"/>
      <c r="F501" s="200"/>
      <c r="G501" s="200"/>
      <c r="H501" s="200"/>
      <c r="I501" s="200"/>
      <c r="J501" s="200"/>
      <c r="K501" s="200"/>
      <c r="L501" s="200"/>
      <c r="M501" s="201"/>
      <c r="N501" s="202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1"/>
      <c r="AB501" s="201"/>
      <c r="AC501" s="201"/>
    </row>
    <row r="502" spans="1:29" ht="18" customHeight="1" thickBot="1" x14ac:dyDescent="0.25">
      <c r="A502" s="532" t="s">
        <v>87</v>
      </c>
      <c r="B502" s="533"/>
      <c r="C502" s="533"/>
      <c r="D502" s="533"/>
      <c r="E502" s="533"/>
      <c r="F502" s="533"/>
      <c r="G502" s="533"/>
      <c r="H502" s="533"/>
      <c r="I502" s="533"/>
      <c r="J502" s="533"/>
      <c r="K502" s="533"/>
      <c r="L502" s="534"/>
      <c r="M502" s="159"/>
      <c r="N502" s="160"/>
      <c r="O502" s="524" t="s">
        <v>88</v>
      </c>
      <c r="P502" s="525"/>
      <c r="Q502" s="525"/>
      <c r="R502" s="526"/>
      <c r="S502" s="161"/>
      <c r="T502" s="524" t="s">
        <v>89</v>
      </c>
      <c r="U502" s="525"/>
      <c r="V502" s="525"/>
      <c r="W502" s="525"/>
      <c r="X502" s="525"/>
      <c r="Y502" s="526"/>
      <c r="Z502" s="162"/>
      <c r="AA502" s="159"/>
      <c r="AB502" s="158"/>
      <c r="AC502" s="158"/>
    </row>
    <row r="503" spans="1:29" ht="18" customHeight="1" x14ac:dyDescent="0.2">
      <c r="A503" s="163"/>
      <c r="B503" s="149"/>
      <c r="C503" s="535" t="s">
        <v>181</v>
      </c>
      <c r="D503" s="531"/>
      <c r="E503" s="531"/>
      <c r="F503" s="531"/>
      <c r="G503" s="164" t="str">
        <f>$J$1</f>
        <v>September</v>
      </c>
      <c r="H503" s="536">
        <f>$K$1</f>
        <v>2024</v>
      </c>
      <c r="I503" s="531"/>
      <c r="J503" s="149"/>
      <c r="K503" s="165"/>
      <c r="L503" s="166"/>
      <c r="M503" s="167"/>
      <c r="N503" s="168"/>
      <c r="O503" s="169" t="s">
        <v>91</v>
      </c>
      <c r="P503" s="169" t="s">
        <v>92</v>
      </c>
      <c r="Q503" s="169" t="s">
        <v>93</v>
      </c>
      <c r="R503" s="169" t="s">
        <v>94</v>
      </c>
      <c r="S503" s="170"/>
      <c r="T503" s="169" t="s">
        <v>91</v>
      </c>
      <c r="U503" s="169" t="s">
        <v>95</v>
      </c>
      <c r="V503" s="169" t="s">
        <v>9</v>
      </c>
      <c r="W503" s="169" t="s">
        <v>10</v>
      </c>
      <c r="X503" s="169" t="s">
        <v>11</v>
      </c>
      <c r="Y503" s="169" t="s">
        <v>96</v>
      </c>
      <c r="Z503" s="171"/>
      <c r="AA503" s="167"/>
      <c r="AB503" s="158"/>
      <c r="AC503" s="158"/>
    </row>
    <row r="504" spans="1:29" ht="18" customHeight="1" x14ac:dyDescent="0.2">
      <c r="A504" s="163"/>
      <c r="B504" s="149"/>
      <c r="C504" s="149"/>
      <c r="D504" s="172"/>
      <c r="E504" s="172"/>
      <c r="F504" s="172"/>
      <c r="G504" s="172"/>
      <c r="H504" s="172"/>
      <c r="I504" s="149"/>
      <c r="J504" s="173" t="s">
        <v>97</v>
      </c>
      <c r="K504" s="151">
        <f>32500+2000+3000+5000</f>
        <v>42500</v>
      </c>
      <c r="L504" s="174"/>
      <c r="M504" s="158"/>
      <c r="N504" s="175"/>
      <c r="O504" s="176" t="s">
        <v>98</v>
      </c>
      <c r="P504" s="176">
        <v>26</v>
      </c>
      <c r="Q504" s="176">
        <v>5</v>
      </c>
      <c r="R504" s="176">
        <v>0</v>
      </c>
      <c r="S504" s="177"/>
      <c r="T504" s="176" t="s">
        <v>98</v>
      </c>
      <c r="U504" s="178"/>
      <c r="V504" s="178"/>
      <c r="W504" s="178">
        <f>V504+U504</f>
        <v>0</v>
      </c>
      <c r="X504" s="178"/>
      <c r="Y504" s="178">
        <f>W504-X504</f>
        <v>0</v>
      </c>
      <c r="Z504" s="171"/>
      <c r="AA504" s="158"/>
      <c r="AB504" s="158"/>
      <c r="AC504" s="158"/>
    </row>
    <row r="505" spans="1:29" ht="18" customHeight="1" x14ac:dyDescent="0.2">
      <c r="A505" s="163"/>
      <c r="B505" s="149" t="s">
        <v>99</v>
      </c>
      <c r="C505" s="148" t="s">
        <v>182</v>
      </c>
      <c r="D505" s="149"/>
      <c r="E505" s="149"/>
      <c r="F505" s="149"/>
      <c r="G505" s="149"/>
      <c r="H505" s="179"/>
      <c r="I505" s="172"/>
      <c r="J505" s="149"/>
      <c r="K505" s="149"/>
      <c r="L505" s="180"/>
      <c r="M505" s="159"/>
      <c r="N505" s="181"/>
      <c r="O505" s="176" t="s">
        <v>100</v>
      </c>
      <c r="P505" s="176">
        <v>29</v>
      </c>
      <c r="Q505" s="176">
        <v>0</v>
      </c>
      <c r="R505" s="176">
        <v>0</v>
      </c>
      <c r="S505" s="156"/>
      <c r="T505" s="176" t="s">
        <v>100</v>
      </c>
      <c r="U505" s="182">
        <f>IF($J$1="January","",Y504)</f>
        <v>0</v>
      </c>
      <c r="V505" s="178"/>
      <c r="W505" s="182">
        <f t="shared" ref="W505:W515" si="147">IF(U505="","",U505+V505)</f>
        <v>0</v>
      </c>
      <c r="X505" s="178"/>
      <c r="Y505" s="182">
        <f t="shared" ref="Y505:Y515" si="148">IF(W505="","",W505-X505)</f>
        <v>0</v>
      </c>
      <c r="Z505" s="183"/>
      <c r="AA505" s="159"/>
      <c r="AB505" s="158"/>
      <c r="AC505" s="158"/>
    </row>
    <row r="506" spans="1:29" ht="18" customHeight="1" x14ac:dyDescent="0.2">
      <c r="A506" s="163"/>
      <c r="B506" s="184" t="s">
        <v>101</v>
      </c>
      <c r="C506" s="185"/>
      <c r="D506" s="149"/>
      <c r="E506" s="149"/>
      <c r="F506" s="529" t="s">
        <v>89</v>
      </c>
      <c r="G506" s="503"/>
      <c r="H506" s="149"/>
      <c r="I506" s="529" t="s">
        <v>102</v>
      </c>
      <c r="J506" s="502"/>
      <c r="K506" s="503"/>
      <c r="L506" s="186"/>
      <c r="M506" s="158"/>
      <c r="N506" s="175"/>
      <c r="O506" s="176" t="s">
        <v>103</v>
      </c>
      <c r="P506" s="176">
        <v>28</v>
      </c>
      <c r="Q506" s="176">
        <v>3</v>
      </c>
      <c r="R506" s="176">
        <v>0</v>
      </c>
      <c r="S506" s="156"/>
      <c r="T506" s="176" t="s">
        <v>103</v>
      </c>
      <c r="U506" s="182">
        <f>IF($J$1="February","",Y505)</f>
        <v>0</v>
      </c>
      <c r="V506" s="178"/>
      <c r="W506" s="182">
        <f t="shared" si="147"/>
        <v>0</v>
      </c>
      <c r="X506" s="178"/>
      <c r="Y506" s="182">
        <f t="shared" si="148"/>
        <v>0</v>
      </c>
      <c r="Z506" s="183"/>
      <c r="AA506" s="158"/>
      <c r="AB506" s="158"/>
      <c r="AC506" s="158"/>
    </row>
    <row r="507" spans="1:29" ht="18" customHeight="1" x14ac:dyDescent="0.2">
      <c r="A507" s="163"/>
      <c r="B507" s="149"/>
      <c r="C507" s="149"/>
      <c r="D507" s="149"/>
      <c r="E507" s="149"/>
      <c r="F507" s="149"/>
      <c r="G507" s="149"/>
      <c r="H507" s="187"/>
      <c r="I507" s="149"/>
      <c r="J507" s="149"/>
      <c r="K507" s="149"/>
      <c r="L507" s="188"/>
      <c r="M507" s="158"/>
      <c r="N507" s="175"/>
      <c r="O507" s="176" t="s">
        <v>104</v>
      </c>
      <c r="P507" s="176">
        <v>29</v>
      </c>
      <c r="Q507" s="176">
        <v>1</v>
      </c>
      <c r="R507" s="176">
        <v>0</v>
      </c>
      <c r="S507" s="156"/>
      <c r="T507" s="176" t="s">
        <v>104</v>
      </c>
      <c r="U507" s="182">
        <f>IF($J$1="March","",Y506)</f>
        <v>0</v>
      </c>
      <c r="V507" s="178"/>
      <c r="W507" s="182">
        <f t="shared" si="147"/>
        <v>0</v>
      </c>
      <c r="X507" s="178"/>
      <c r="Y507" s="182">
        <f t="shared" si="148"/>
        <v>0</v>
      </c>
      <c r="Z507" s="183"/>
      <c r="AA507" s="158"/>
      <c r="AB507" s="158"/>
      <c r="AC507" s="158"/>
    </row>
    <row r="508" spans="1:29" ht="18" customHeight="1" x14ac:dyDescent="0.2">
      <c r="A508" s="163"/>
      <c r="B508" s="527" t="s">
        <v>88</v>
      </c>
      <c r="C508" s="503"/>
      <c r="D508" s="149"/>
      <c r="E508" s="149"/>
      <c r="F508" s="189" t="s">
        <v>105</v>
      </c>
      <c r="G508" s="190">
        <f>IF($J$1="January",U504,IF($J$1="February",U505,IF($J$1="March",U506,IF($J$1="April",U507,IF($J$1="May",U508,IF($J$1="June",U509,IF($J$1="July",U510,IF($J$1="August",U511,IF($J$1="August",U511,IF($J$1="September",U512,IF($J$1="October",U513,IF($J$1="November",U514,IF($J$1="December",U515)))))))))))))</f>
        <v>0</v>
      </c>
      <c r="H508" s="187"/>
      <c r="I508" s="191">
        <v>30</v>
      </c>
      <c r="J508" s="192" t="s">
        <v>106</v>
      </c>
      <c r="K508" s="193">
        <f>K504/$K$2*I508</f>
        <v>42500</v>
      </c>
      <c r="L508" s="194"/>
      <c r="M508" s="158"/>
      <c r="N508" s="175"/>
      <c r="O508" s="176" t="s">
        <v>107</v>
      </c>
      <c r="P508" s="176">
        <v>31</v>
      </c>
      <c r="Q508" s="176">
        <v>0</v>
      </c>
      <c r="R508" s="176">
        <v>0</v>
      </c>
      <c r="S508" s="156"/>
      <c r="T508" s="176" t="s">
        <v>107</v>
      </c>
      <c r="U508" s="182">
        <f>IF($J$1="April","",Y507)</f>
        <v>0</v>
      </c>
      <c r="V508" s="178"/>
      <c r="W508" s="182">
        <f t="shared" si="147"/>
        <v>0</v>
      </c>
      <c r="X508" s="178"/>
      <c r="Y508" s="182">
        <f t="shared" si="148"/>
        <v>0</v>
      </c>
      <c r="Z508" s="183"/>
      <c r="AA508" s="158"/>
      <c r="AB508" s="158"/>
      <c r="AC508" s="158"/>
    </row>
    <row r="509" spans="1:29" ht="18" customHeight="1" x14ac:dyDescent="0.2">
      <c r="A509" s="163"/>
      <c r="B509" s="195"/>
      <c r="C509" s="195"/>
      <c r="D509" s="149"/>
      <c r="E509" s="149"/>
      <c r="F509" s="189" t="s">
        <v>9</v>
      </c>
      <c r="G509" s="190">
        <f>IF($J$1="January",V504,IF($J$1="February",V505,IF($J$1="March",V506,IF($J$1="April",V507,IF($J$1="May",V508,IF($J$1="June",V509,IF($J$1="July",V510,IF($J$1="August",V511,IF($J$1="August",V511,IF($J$1="September",V512,IF($J$1="October",V513,IF($J$1="November",V514,IF($J$1="December",V515)))))))))))))</f>
        <v>0</v>
      </c>
      <c r="H509" s="187"/>
      <c r="I509" s="191">
        <v>5</v>
      </c>
      <c r="J509" s="192" t="s">
        <v>108</v>
      </c>
      <c r="K509" s="190">
        <f>K504/$K$2/8*I509</f>
        <v>885.41666666666674</v>
      </c>
      <c r="L509" s="196"/>
      <c r="M509" s="158"/>
      <c r="N509" s="175"/>
      <c r="O509" s="176" t="s">
        <v>84</v>
      </c>
      <c r="P509" s="176">
        <v>30</v>
      </c>
      <c r="Q509" s="176">
        <v>0</v>
      </c>
      <c r="R509" s="176">
        <v>0</v>
      </c>
      <c r="S509" s="156"/>
      <c r="T509" s="176" t="s">
        <v>84</v>
      </c>
      <c r="U509" s="182">
        <f>IF($J$1="May","",Y508)</f>
        <v>0</v>
      </c>
      <c r="V509" s="178"/>
      <c r="W509" s="182">
        <f t="shared" si="147"/>
        <v>0</v>
      </c>
      <c r="X509" s="178"/>
      <c r="Y509" s="182">
        <f t="shared" si="148"/>
        <v>0</v>
      </c>
      <c r="Z509" s="183"/>
      <c r="AA509" s="158"/>
      <c r="AB509" s="158"/>
      <c r="AC509" s="158"/>
    </row>
    <row r="510" spans="1:29" ht="18" customHeight="1" x14ac:dyDescent="0.2">
      <c r="A510" s="163"/>
      <c r="B510" s="189" t="s">
        <v>92</v>
      </c>
      <c r="C510" s="195">
        <f>IF($J$1="January",P504,IF($J$1="February",P505,IF($J$1="March",P506,IF($J$1="April",P507,IF($J$1="May",P508,IF($J$1="June",P509,IF($J$1="July",P510,IF($J$1="August",P511,IF($J$1="August",P511,IF($J$1="September",P512,IF($J$1="October",P513,IF($J$1="November",P514,IF($J$1="December",P515)))))))))))))</f>
        <v>29</v>
      </c>
      <c r="D510" s="149"/>
      <c r="E510" s="149"/>
      <c r="F510" s="189" t="s">
        <v>109</v>
      </c>
      <c r="G510" s="190">
        <f>IF($J$1="January",W504,IF($J$1="February",W505,IF($J$1="March",W506,IF($J$1="April",W507,IF($J$1="May",W508,IF($J$1="June",W509,IF($J$1="July",W510,IF($J$1="August",W511,IF($J$1="August",W511,IF($J$1="September",W512,IF($J$1="October",W513,IF($J$1="November",W514,IF($J$1="December",W515)))))))))))))</f>
        <v>0</v>
      </c>
      <c r="H510" s="187"/>
      <c r="I510" s="528" t="s">
        <v>110</v>
      </c>
      <c r="J510" s="503"/>
      <c r="K510" s="190">
        <f>K508+K509</f>
        <v>43385.416666666664</v>
      </c>
      <c r="L510" s="196"/>
      <c r="M510" s="158"/>
      <c r="N510" s="175"/>
      <c r="O510" s="176" t="s">
        <v>111</v>
      </c>
      <c r="P510" s="176">
        <v>31</v>
      </c>
      <c r="Q510" s="176">
        <v>1</v>
      </c>
      <c r="R510" s="176">
        <v>0</v>
      </c>
      <c r="S510" s="156"/>
      <c r="T510" s="176" t="s">
        <v>111</v>
      </c>
      <c r="U510" s="182">
        <f>IF($J$1="June","",Y509)</f>
        <v>0</v>
      </c>
      <c r="V510" s="178"/>
      <c r="W510" s="182">
        <f t="shared" si="147"/>
        <v>0</v>
      </c>
      <c r="X510" s="178"/>
      <c r="Y510" s="182">
        <f t="shared" si="148"/>
        <v>0</v>
      </c>
      <c r="Z510" s="183"/>
      <c r="AA510" s="158"/>
      <c r="AB510" s="158"/>
      <c r="AC510" s="158"/>
    </row>
    <row r="511" spans="1:29" ht="18" customHeight="1" x14ac:dyDescent="0.2">
      <c r="A511" s="163"/>
      <c r="B511" s="189" t="s">
        <v>93</v>
      </c>
      <c r="C511" s="195">
        <f>IF($J$1="January",Q504,IF($J$1="February",Q505,IF($J$1="March",Q506,IF($J$1="April",Q507,IF($J$1="May",Q508,IF($J$1="June",Q509,IF($J$1="July",Q510,IF($J$1="August",Q511,IF($J$1="August",Q511,IF($J$1="September",Q512,IF($J$1="October",Q513,IF($J$1="November",Q514,IF($J$1="December",Q515)))))))))))))</f>
        <v>1</v>
      </c>
      <c r="D511" s="149"/>
      <c r="E511" s="149"/>
      <c r="F511" s="189" t="s">
        <v>11</v>
      </c>
      <c r="G511" s="190">
        <f>IF($J$1="January",X504,IF($J$1="February",X505,IF($J$1="March",X506,IF($J$1="April",X507,IF($J$1="May",X508,IF($J$1="June",X509,IF($J$1="July",X510,IF($J$1="August",X511,IF($J$1="August",X511,IF($J$1="September",X512,IF($J$1="October",X513,IF($J$1="November",X514,IF($J$1="December",X515)))))))))))))</f>
        <v>0</v>
      </c>
      <c r="H511" s="187"/>
      <c r="I511" s="528" t="s">
        <v>112</v>
      </c>
      <c r="J511" s="503"/>
      <c r="K511" s="190">
        <f>G511</f>
        <v>0</v>
      </c>
      <c r="L511" s="196"/>
      <c r="M511" s="158"/>
      <c r="N511" s="175"/>
      <c r="O511" s="176" t="s">
        <v>113</v>
      </c>
      <c r="P511" s="176">
        <v>29</v>
      </c>
      <c r="Q511" s="176">
        <v>2</v>
      </c>
      <c r="R511" s="176">
        <v>0</v>
      </c>
      <c r="S511" s="156"/>
      <c r="T511" s="176" t="s">
        <v>113</v>
      </c>
      <c r="U511" s="182">
        <f>IF($J$1="July","",Y510)</f>
        <v>0</v>
      </c>
      <c r="V511" s="178"/>
      <c r="W511" s="182">
        <f t="shared" si="147"/>
        <v>0</v>
      </c>
      <c r="X511" s="178"/>
      <c r="Y511" s="182">
        <f t="shared" si="148"/>
        <v>0</v>
      </c>
      <c r="Z511" s="183"/>
      <c r="AA511" s="158"/>
      <c r="AB511" s="158"/>
      <c r="AC511" s="158"/>
    </row>
    <row r="512" spans="1:29" ht="18" customHeight="1" x14ac:dyDescent="0.2">
      <c r="A512" s="163"/>
      <c r="B512" s="204" t="s">
        <v>114</v>
      </c>
      <c r="C512" s="195">
        <f>IF($J$1="January",R504,IF($J$1="February",R505,IF($J$1="March",R506,IF($J$1="April",R507,IF($J$1="May",R508,IF($J$1="June",R509,IF($J$1="July",R510,IF($J$1="August",R511,IF($J$1="August",R511,IF($J$1="September",R512,IF($J$1="October",R513,IF($J$1="November",R514,IF($J$1="December",R515)))))))))))))</f>
        <v>0</v>
      </c>
      <c r="D512" s="149"/>
      <c r="E512" s="149"/>
      <c r="F512" s="204" t="s">
        <v>115</v>
      </c>
      <c r="G512" s="190">
        <f>IF($J$1="January",Y504,IF($J$1="February",Y505,IF($J$1="March",Y506,IF($J$1="April",Y507,IF($J$1="May",Y508,IF($J$1="June",Y509,IF($J$1="July",Y510,IF($J$1="August",Y511,IF($J$1="August",Y511,IF($J$1="September",Y512,IF($J$1="October",Y513,IF($J$1="November",Y514,IF($J$1="December",Y515)))))))))))))</f>
        <v>0</v>
      </c>
      <c r="H512" s="149"/>
      <c r="I512" s="529" t="s">
        <v>13</v>
      </c>
      <c r="J512" s="503"/>
      <c r="K512" s="37">
        <f>K510-K511</f>
        <v>43385.416666666664</v>
      </c>
      <c r="L512" s="180"/>
      <c r="M512" s="158"/>
      <c r="N512" s="175"/>
      <c r="O512" s="176" t="s">
        <v>116</v>
      </c>
      <c r="P512" s="176">
        <v>29</v>
      </c>
      <c r="Q512" s="176">
        <v>1</v>
      </c>
      <c r="R512" s="176">
        <v>0</v>
      </c>
      <c r="S512" s="156"/>
      <c r="T512" s="176" t="s">
        <v>116</v>
      </c>
      <c r="U512" s="182">
        <f>IF($J$1="September",Y511,"")</f>
        <v>0</v>
      </c>
      <c r="V512" s="178"/>
      <c r="W512" s="182">
        <f t="shared" si="147"/>
        <v>0</v>
      </c>
      <c r="X512" s="178"/>
      <c r="Y512" s="182">
        <f t="shared" si="148"/>
        <v>0</v>
      </c>
      <c r="Z512" s="183"/>
      <c r="AA512" s="158"/>
      <c r="AB512" s="158"/>
      <c r="AC512" s="158"/>
    </row>
    <row r="513" spans="1:29" ht="18" customHeight="1" x14ac:dyDescent="0.2">
      <c r="A513" s="163"/>
      <c r="B513" s="149"/>
      <c r="C513" s="149"/>
      <c r="D513" s="149"/>
      <c r="E513" s="149"/>
      <c r="F513" s="149"/>
      <c r="G513" s="149"/>
      <c r="H513" s="149"/>
      <c r="I513" s="530"/>
      <c r="J513" s="531"/>
      <c r="K513" s="151"/>
      <c r="L513" s="186"/>
      <c r="M513" s="158"/>
      <c r="N513" s="175"/>
      <c r="O513" s="176" t="s">
        <v>117</v>
      </c>
      <c r="P513" s="176"/>
      <c r="Q513" s="176"/>
      <c r="R513" s="176">
        <v>0</v>
      </c>
      <c r="S513" s="156"/>
      <c r="T513" s="176" t="s">
        <v>117</v>
      </c>
      <c r="U513" s="182" t="str">
        <f>IF($J$1="October",Y512,"")</f>
        <v/>
      </c>
      <c r="V513" s="178"/>
      <c r="W513" s="182" t="str">
        <f t="shared" si="147"/>
        <v/>
      </c>
      <c r="X513" s="178"/>
      <c r="Y513" s="182" t="str">
        <f t="shared" si="148"/>
        <v/>
      </c>
      <c r="Z513" s="183"/>
      <c r="AA513" s="158"/>
      <c r="AB513" s="158"/>
      <c r="AC513" s="158"/>
    </row>
    <row r="514" spans="1:29" ht="18" customHeight="1" x14ac:dyDescent="0.3">
      <c r="A514" s="163"/>
      <c r="B514" s="147"/>
      <c r="C514" s="147"/>
      <c r="D514" s="147"/>
      <c r="E514" s="147"/>
      <c r="F514" s="147"/>
      <c r="G514" s="147"/>
      <c r="H514" s="147"/>
      <c r="I514" s="530"/>
      <c r="J514" s="531"/>
      <c r="K514" s="151"/>
      <c r="L514" s="186"/>
      <c r="M514" s="158"/>
      <c r="N514" s="175"/>
      <c r="O514" s="176" t="s">
        <v>118</v>
      </c>
      <c r="P514" s="176"/>
      <c r="Q514" s="176"/>
      <c r="R514" s="176">
        <v>0</v>
      </c>
      <c r="S514" s="156"/>
      <c r="T514" s="176" t="s">
        <v>118</v>
      </c>
      <c r="U514" s="182" t="str">
        <f>IF($J$1="October","",Y513)</f>
        <v/>
      </c>
      <c r="V514" s="178"/>
      <c r="W514" s="182" t="str">
        <f t="shared" si="147"/>
        <v/>
      </c>
      <c r="X514" s="178"/>
      <c r="Y514" s="182" t="str">
        <f t="shared" si="148"/>
        <v/>
      </c>
      <c r="Z514" s="183"/>
      <c r="AA514" s="158"/>
      <c r="AB514" s="158"/>
      <c r="AC514" s="158"/>
    </row>
    <row r="515" spans="1:29" ht="18" customHeight="1" thickBot="1" x14ac:dyDescent="0.35">
      <c r="A515" s="197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9"/>
      <c r="M515" s="158"/>
      <c r="N515" s="175"/>
      <c r="O515" s="176" t="s">
        <v>119</v>
      </c>
      <c r="P515" s="176"/>
      <c r="Q515" s="176"/>
      <c r="R515" s="176">
        <v>0</v>
      </c>
      <c r="S515" s="156"/>
      <c r="T515" s="176" t="s">
        <v>119</v>
      </c>
      <c r="U515" s="182" t="str">
        <f>IF($J$1="November","",Y514)</f>
        <v/>
      </c>
      <c r="V515" s="178"/>
      <c r="W515" s="182" t="str">
        <f t="shared" si="147"/>
        <v/>
      </c>
      <c r="X515" s="178"/>
      <c r="Y515" s="182" t="str">
        <f t="shared" si="148"/>
        <v/>
      </c>
      <c r="Z515" s="183"/>
      <c r="AA515" s="158"/>
      <c r="AB515" s="158"/>
      <c r="AC515" s="158"/>
    </row>
    <row r="516" spans="1:29" ht="18" customHeight="1" thickBot="1" x14ac:dyDescent="0.25">
      <c r="A516" s="200"/>
      <c r="B516" s="200"/>
      <c r="C516" s="200"/>
      <c r="D516" s="200"/>
      <c r="E516" s="200"/>
      <c r="F516" s="200"/>
      <c r="G516" s="200"/>
      <c r="H516" s="200"/>
      <c r="I516" s="200"/>
      <c r="J516" s="200"/>
      <c r="K516" s="200"/>
      <c r="L516" s="200"/>
      <c r="M516" s="201"/>
      <c r="N516" s="202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  <c r="AA516" s="201"/>
      <c r="AB516" s="201"/>
      <c r="AC516" s="201"/>
    </row>
    <row r="517" spans="1:29" ht="18" customHeight="1" thickBot="1" x14ac:dyDescent="0.25">
      <c r="A517" s="532" t="s">
        <v>87</v>
      </c>
      <c r="B517" s="533"/>
      <c r="C517" s="533"/>
      <c r="D517" s="533"/>
      <c r="E517" s="533"/>
      <c r="F517" s="533"/>
      <c r="G517" s="533"/>
      <c r="H517" s="533"/>
      <c r="I517" s="533"/>
      <c r="J517" s="533"/>
      <c r="K517" s="533"/>
      <c r="L517" s="534"/>
      <c r="M517" s="159"/>
      <c r="N517" s="160"/>
      <c r="O517" s="524" t="s">
        <v>88</v>
      </c>
      <c r="P517" s="525"/>
      <c r="Q517" s="525"/>
      <c r="R517" s="526"/>
      <c r="S517" s="161"/>
      <c r="T517" s="524" t="s">
        <v>89</v>
      </c>
      <c r="U517" s="525"/>
      <c r="V517" s="525"/>
      <c r="W517" s="525"/>
      <c r="X517" s="525"/>
      <c r="Y517" s="526"/>
      <c r="Z517" s="162"/>
      <c r="AA517" s="158"/>
      <c r="AB517" s="158"/>
      <c r="AC517" s="158"/>
    </row>
    <row r="518" spans="1:29" ht="18" customHeight="1" x14ac:dyDescent="0.2">
      <c r="A518" s="163"/>
      <c r="B518" s="149"/>
      <c r="C518" s="535" t="s">
        <v>183</v>
      </c>
      <c r="D518" s="531"/>
      <c r="E518" s="531"/>
      <c r="F518" s="531"/>
      <c r="G518" s="164" t="str">
        <f>$J$1</f>
        <v>September</v>
      </c>
      <c r="H518" s="536">
        <f>$K$1</f>
        <v>2024</v>
      </c>
      <c r="I518" s="531"/>
      <c r="J518" s="149"/>
      <c r="K518" s="165"/>
      <c r="L518" s="166"/>
      <c r="M518" s="167"/>
      <c r="N518" s="168"/>
      <c r="O518" s="169" t="s">
        <v>91</v>
      </c>
      <c r="P518" s="169" t="s">
        <v>92</v>
      </c>
      <c r="Q518" s="169" t="s">
        <v>93</v>
      </c>
      <c r="R518" s="169" t="s">
        <v>94</v>
      </c>
      <c r="S518" s="170"/>
      <c r="T518" s="169" t="s">
        <v>91</v>
      </c>
      <c r="U518" s="169" t="s">
        <v>95</v>
      </c>
      <c r="V518" s="169" t="s">
        <v>9</v>
      </c>
      <c r="W518" s="169" t="s">
        <v>10</v>
      </c>
      <c r="X518" s="169" t="s">
        <v>11</v>
      </c>
      <c r="Y518" s="169" t="s">
        <v>96</v>
      </c>
      <c r="Z518" s="171"/>
      <c r="AA518" s="158"/>
      <c r="AB518" s="158"/>
      <c r="AC518" s="158"/>
    </row>
    <row r="519" spans="1:29" ht="18" customHeight="1" x14ac:dyDescent="0.2">
      <c r="A519" s="163"/>
      <c r="B519" s="149"/>
      <c r="C519" s="149"/>
      <c r="D519" s="172"/>
      <c r="E519" s="172"/>
      <c r="F519" s="172"/>
      <c r="G519" s="172"/>
      <c r="H519" s="172"/>
      <c r="I519" s="149"/>
      <c r="J519" s="173" t="s">
        <v>97</v>
      </c>
      <c r="K519" s="151">
        <f>24500+2000+3000+2000</f>
        <v>31500</v>
      </c>
      <c r="L519" s="174"/>
      <c r="M519" s="158"/>
      <c r="N519" s="175"/>
      <c r="O519" s="176" t="s">
        <v>98</v>
      </c>
      <c r="P519" s="176">
        <v>31</v>
      </c>
      <c r="Q519" s="176">
        <v>0</v>
      </c>
      <c r="R519" s="176"/>
      <c r="S519" s="177"/>
      <c r="T519" s="176" t="s">
        <v>98</v>
      </c>
      <c r="U519" s="178"/>
      <c r="V519" s="178"/>
      <c r="W519" s="178">
        <f>V519+U519</f>
        <v>0</v>
      </c>
      <c r="X519" s="178"/>
      <c r="Y519" s="178">
        <f>W519-X519</f>
        <v>0</v>
      </c>
      <c r="Z519" s="171"/>
      <c r="AA519" s="158"/>
      <c r="AB519" s="158"/>
      <c r="AC519" s="158"/>
    </row>
    <row r="520" spans="1:29" ht="18" customHeight="1" x14ac:dyDescent="0.2">
      <c r="A520" s="163"/>
      <c r="B520" s="149" t="s">
        <v>99</v>
      </c>
      <c r="C520" s="148" t="s">
        <v>184</v>
      </c>
      <c r="D520" s="149"/>
      <c r="E520" s="149"/>
      <c r="F520" s="149"/>
      <c r="G520" s="149"/>
      <c r="H520" s="179"/>
      <c r="I520" s="172"/>
      <c r="J520" s="149"/>
      <c r="K520" s="149"/>
      <c r="L520" s="180"/>
      <c r="M520" s="159"/>
      <c r="N520" s="181"/>
      <c r="O520" s="176" t="s">
        <v>100</v>
      </c>
      <c r="P520" s="176">
        <v>29</v>
      </c>
      <c r="Q520" s="176">
        <v>0</v>
      </c>
      <c r="R520" s="176"/>
      <c r="S520" s="156"/>
      <c r="T520" s="176" t="s">
        <v>100</v>
      </c>
      <c r="U520" s="182">
        <f>Y519</f>
        <v>0</v>
      </c>
      <c r="V520" s="178"/>
      <c r="W520" s="182">
        <f t="shared" ref="W520:W530" si="149">IF(U520="","",U520+V520)</f>
        <v>0</v>
      </c>
      <c r="X520" s="178"/>
      <c r="Y520" s="182">
        <f t="shared" ref="Y520:Y530" si="150">IF(W520="","",W520-X520)</f>
        <v>0</v>
      </c>
      <c r="Z520" s="183"/>
      <c r="AA520" s="158"/>
      <c r="AB520" s="158"/>
      <c r="AC520" s="158"/>
    </row>
    <row r="521" spans="1:29" ht="18" customHeight="1" x14ac:dyDescent="0.2">
      <c r="A521" s="163"/>
      <c r="B521" s="184" t="s">
        <v>101</v>
      </c>
      <c r="C521" s="185"/>
      <c r="D521" s="149"/>
      <c r="E521" s="149"/>
      <c r="F521" s="529" t="s">
        <v>89</v>
      </c>
      <c r="G521" s="503"/>
      <c r="H521" s="149"/>
      <c r="I521" s="529" t="s">
        <v>102</v>
      </c>
      <c r="J521" s="502"/>
      <c r="K521" s="503"/>
      <c r="L521" s="186"/>
      <c r="M521" s="158"/>
      <c r="N521" s="175"/>
      <c r="O521" s="176" t="s">
        <v>103</v>
      </c>
      <c r="P521" s="176">
        <v>31</v>
      </c>
      <c r="Q521" s="176">
        <v>0</v>
      </c>
      <c r="R521" s="176">
        <v>0</v>
      </c>
      <c r="S521" s="156"/>
      <c r="T521" s="176" t="s">
        <v>103</v>
      </c>
      <c r="U521" s="182">
        <f>IF($J$1="February","",Y520)</f>
        <v>0</v>
      </c>
      <c r="V521" s="178"/>
      <c r="W521" s="182">
        <f t="shared" si="149"/>
        <v>0</v>
      </c>
      <c r="X521" s="178"/>
      <c r="Y521" s="182">
        <f t="shared" si="150"/>
        <v>0</v>
      </c>
      <c r="Z521" s="183"/>
      <c r="AA521" s="158"/>
      <c r="AB521" s="158"/>
      <c r="AC521" s="158"/>
    </row>
    <row r="522" spans="1:29" ht="18" customHeight="1" x14ac:dyDescent="0.2">
      <c r="A522" s="163"/>
      <c r="B522" s="149"/>
      <c r="C522" s="149"/>
      <c r="D522" s="149"/>
      <c r="E522" s="149"/>
      <c r="F522" s="149"/>
      <c r="G522" s="149"/>
      <c r="H522" s="187"/>
      <c r="I522" s="149"/>
      <c r="J522" s="149"/>
      <c r="K522" s="149"/>
      <c r="L522" s="188"/>
      <c r="M522" s="158"/>
      <c r="N522" s="175"/>
      <c r="O522" s="176" t="s">
        <v>104</v>
      </c>
      <c r="P522" s="176">
        <v>30</v>
      </c>
      <c r="Q522" s="176">
        <v>0</v>
      </c>
      <c r="R522" s="176">
        <v>0</v>
      </c>
      <c r="S522" s="156"/>
      <c r="T522" s="176" t="s">
        <v>104</v>
      </c>
      <c r="U522" s="182">
        <f>IF($J$1="March","",Y521)</f>
        <v>0</v>
      </c>
      <c r="V522" s="178"/>
      <c r="W522" s="182">
        <f t="shared" si="149"/>
        <v>0</v>
      </c>
      <c r="X522" s="178"/>
      <c r="Y522" s="182">
        <f t="shared" si="150"/>
        <v>0</v>
      </c>
      <c r="Z522" s="183"/>
      <c r="AA522" s="158"/>
      <c r="AB522" s="158"/>
      <c r="AC522" s="158"/>
    </row>
    <row r="523" spans="1:29" ht="18" customHeight="1" x14ac:dyDescent="0.2">
      <c r="A523" s="163"/>
      <c r="B523" s="527" t="s">
        <v>88</v>
      </c>
      <c r="C523" s="503"/>
      <c r="D523" s="149"/>
      <c r="E523" s="149"/>
      <c r="F523" s="189" t="s">
        <v>105</v>
      </c>
      <c r="G523" s="190">
        <f>IF($J$1="January",U519,IF($J$1="February",U520,IF($J$1="March",U521,IF($J$1="April",U522,IF($J$1="May",U523,IF($J$1="June",U524,IF($J$1="July",U525,IF($J$1="August",U526,IF($J$1="August",U526,IF($J$1="September",U527,IF($J$1="October",U528,IF($J$1="November",U529,IF($J$1="December",U530)))))))))))))</f>
        <v>21000</v>
      </c>
      <c r="H523" s="187"/>
      <c r="I523" s="191">
        <f>IF(C527&gt;=C526,$K$2,C525+C527)</f>
        <v>30</v>
      </c>
      <c r="J523" s="192" t="s">
        <v>106</v>
      </c>
      <c r="K523" s="193">
        <f>K519/$K$2*I523</f>
        <v>31500</v>
      </c>
      <c r="L523" s="194"/>
      <c r="M523" s="158"/>
      <c r="N523" s="175"/>
      <c r="O523" s="176" t="s">
        <v>107</v>
      </c>
      <c r="P523" s="176">
        <v>31</v>
      </c>
      <c r="Q523" s="176">
        <v>0</v>
      </c>
      <c r="R523" s="176">
        <v>0</v>
      </c>
      <c r="S523" s="156"/>
      <c r="T523" s="176" t="s">
        <v>107</v>
      </c>
      <c r="U523" s="182">
        <f t="shared" ref="U523:U524" si="151">Y522</f>
        <v>0</v>
      </c>
      <c r="V523" s="178"/>
      <c r="W523" s="182">
        <f t="shared" si="149"/>
        <v>0</v>
      </c>
      <c r="X523" s="178"/>
      <c r="Y523" s="182">
        <f t="shared" si="150"/>
        <v>0</v>
      </c>
      <c r="Z523" s="183"/>
      <c r="AA523" s="158"/>
      <c r="AB523" s="158"/>
      <c r="AC523" s="158"/>
    </row>
    <row r="524" spans="1:29" ht="18" customHeight="1" x14ac:dyDescent="0.2">
      <c r="A524" s="163"/>
      <c r="B524" s="195"/>
      <c r="C524" s="195"/>
      <c r="D524" s="149"/>
      <c r="E524" s="149"/>
      <c r="F524" s="189" t="s">
        <v>9</v>
      </c>
      <c r="G524" s="190">
        <f>IF($J$1="January",V519,IF($J$1="February",V520,IF($J$1="March",V521,IF($J$1="April",V522,IF($J$1="May",V523,IF($J$1="June",V524,IF($J$1="July",V525,IF($J$1="August",V526,IF($J$1="August",V526,IF($J$1="September",V527,IF($J$1="October",V528,IF($J$1="November",V529,IF($J$1="December",V530)))))))))))))</f>
        <v>0</v>
      </c>
      <c r="H524" s="187"/>
      <c r="I524" s="191">
        <v>58</v>
      </c>
      <c r="J524" s="192" t="s">
        <v>108</v>
      </c>
      <c r="K524" s="190">
        <f>K519/$K$2/8*I524</f>
        <v>7612.5</v>
      </c>
      <c r="L524" s="196"/>
      <c r="M524" s="158"/>
      <c r="N524" s="175"/>
      <c r="O524" s="176" t="s">
        <v>84</v>
      </c>
      <c r="P524" s="176">
        <v>30</v>
      </c>
      <c r="Q524" s="176">
        <v>0</v>
      </c>
      <c r="R524" s="176">
        <v>0</v>
      </c>
      <c r="S524" s="156"/>
      <c r="T524" s="176" t="s">
        <v>84</v>
      </c>
      <c r="U524" s="182">
        <f t="shared" si="151"/>
        <v>0</v>
      </c>
      <c r="V524" s="178">
        <v>30000</v>
      </c>
      <c r="W524" s="182">
        <f t="shared" si="149"/>
        <v>30000</v>
      </c>
      <c r="X524" s="178">
        <v>3000</v>
      </c>
      <c r="Y524" s="182">
        <f t="shared" si="150"/>
        <v>27000</v>
      </c>
      <c r="Z524" s="183"/>
      <c r="AA524" s="158"/>
      <c r="AB524" s="158"/>
      <c r="AC524" s="158"/>
    </row>
    <row r="525" spans="1:29" ht="18" customHeight="1" x14ac:dyDescent="0.2">
      <c r="A525" s="163"/>
      <c r="B525" s="189" t="s">
        <v>92</v>
      </c>
      <c r="C525" s="195">
        <f>IF($J$1="January",P519,IF($J$1="February",P520,IF($J$1="March",P521,IF($J$1="April",P522,IF($J$1="May",P523,IF($J$1="June",P524,IF($J$1="July",P525,IF($J$1="August",P526,IF($J$1="August",P526,IF($J$1="September",P527,IF($J$1="October",P528,IF($J$1="November",P529,IF($J$1="December",P530)))))))))))))</f>
        <v>30</v>
      </c>
      <c r="D525" s="149"/>
      <c r="E525" s="149"/>
      <c r="F525" s="189" t="s">
        <v>109</v>
      </c>
      <c r="G525" s="190">
        <f>IF($J$1="January",W519,IF($J$1="February",W520,IF($J$1="March",W521,IF($J$1="April",W522,IF($J$1="May",W523,IF($J$1="June",W524,IF($J$1="July",W525,IF($J$1="August",W526,IF($J$1="August",W526,IF($J$1="September",W527,IF($J$1="October",W528,IF($J$1="November",W529,IF($J$1="December",W530)))))))))))))</f>
        <v>21000</v>
      </c>
      <c r="H525" s="187"/>
      <c r="I525" s="528" t="s">
        <v>110</v>
      </c>
      <c r="J525" s="503"/>
      <c r="K525" s="190">
        <f>K523+K524</f>
        <v>39112.5</v>
      </c>
      <c r="L525" s="196"/>
      <c r="M525" s="158"/>
      <c r="N525" s="175"/>
      <c r="O525" s="176" t="s">
        <v>111</v>
      </c>
      <c r="P525" s="176">
        <v>30</v>
      </c>
      <c r="Q525" s="176">
        <v>0</v>
      </c>
      <c r="R525" s="176">
        <v>0</v>
      </c>
      <c r="S525" s="156"/>
      <c r="T525" s="176" t="s">
        <v>111</v>
      </c>
      <c r="U525" s="182">
        <f>Y524</f>
        <v>27000</v>
      </c>
      <c r="V525" s="178"/>
      <c r="W525" s="182">
        <f t="shared" si="149"/>
        <v>27000</v>
      </c>
      <c r="X525" s="178">
        <v>3000</v>
      </c>
      <c r="Y525" s="182">
        <f t="shared" si="150"/>
        <v>24000</v>
      </c>
      <c r="Z525" s="183"/>
      <c r="AA525" s="158"/>
      <c r="AB525" s="158"/>
      <c r="AC525" s="158"/>
    </row>
    <row r="526" spans="1:29" ht="18" customHeight="1" x14ac:dyDescent="0.2">
      <c r="A526" s="163"/>
      <c r="B526" s="189" t="s">
        <v>93</v>
      </c>
      <c r="C526" s="195">
        <f>IF($J$1="January",Q519,IF($J$1="February",Q520,IF($J$1="March",Q521,IF($J$1="April",Q522,IF($J$1="May",Q523,IF($J$1="June",Q524,IF($J$1="July",Q525,IF($J$1="August",Q526,IF($J$1="August",Q526,IF($J$1="September",Q527,IF($J$1="October",Q528,IF($J$1="November",Q529,IF($J$1="December",Q530)))))))))))))</f>
        <v>0</v>
      </c>
      <c r="D526" s="149"/>
      <c r="E526" s="149"/>
      <c r="F526" s="189" t="s">
        <v>11</v>
      </c>
      <c r="G526" s="190">
        <f>IF($J$1="January",X519,IF($J$1="February",X520,IF($J$1="March",X521,IF($J$1="April",X522,IF($J$1="May",X523,IF($J$1="June",X524,IF($J$1="July",X525,IF($J$1="August",X526,IF($J$1="August",X526,IF($J$1="September",X527,IF($J$1="October",X528,IF($J$1="November",X529,IF($J$1="December",X530)))))))))))))</f>
        <v>3000</v>
      </c>
      <c r="H526" s="187"/>
      <c r="I526" s="528" t="s">
        <v>112</v>
      </c>
      <c r="J526" s="503"/>
      <c r="K526" s="190">
        <f>G526</f>
        <v>3000</v>
      </c>
      <c r="L526" s="196"/>
      <c r="M526" s="158"/>
      <c r="N526" s="175"/>
      <c r="O526" s="176" t="s">
        <v>113</v>
      </c>
      <c r="P526" s="176">
        <v>31</v>
      </c>
      <c r="Q526" s="176">
        <v>0</v>
      </c>
      <c r="R526" s="176">
        <v>0</v>
      </c>
      <c r="S526" s="156"/>
      <c r="T526" s="176" t="s">
        <v>113</v>
      </c>
      <c r="U526" s="182">
        <f>Y525</f>
        <v>24000</v>
      </c>
      <c r="V526" s="178"/>
      <c r="W526" s="182">
        <f t="shared" si="149"/>
        <v>24000</v>
      </c>
      <c r="X526" s="178">
        <v>3000</v>
      </c>
      <c r="Y526" s="182">
        <f t="shared" si="150"/>
        <v>21000</v>
      </c>
      <c r="Z526" s="183"/>
      <c r="AA526" s="158"/>
      <c r="AB526" s="158"/>
      <c r="AC526" s="158"/>
    </row>
    <row r="527" spans="1:29" ht="18" customHeight="1" x14ac:dyDescent="0.2">
      <c r="A527" s="163"/>
      <c r="B527" s="204" t="s">
        <v>114</v>
      </c>
      <c r="C527" s="195">
        <f>IF($J$1="January",R519,IF($J$1="February",R520,IF($J$1="March",R521,IF($J$1="April",R522,IF($J$1="May",R523,IF($J$1="June",R524,IF($J$1="July",R525,IF($J$1="August",R526,IF($J$1="August",R526,IF($J$1="September",R527,IF($J$1="October",R528,IF($J$1="November",R529,IF($J$1="December",R530)))))))))))))</f>
        <v>0</v>
      </c>
      <c r="D527" s="149"/>
      <c r="E527" s="149"/>
      <c r="F527" s="204" t="s">
        <v>115</v>
      </c>
      <c r="G527" s="190">
        <f>IF($J$1="January",Y519,IF($J$1="February",Y520,IF($J$1="March",Y521,IF($J$1="April",Y522,IF($J$1="May",Y523,IF($J$1="June",Y524,IF($J$1="July",Y525,IF($J$1="August",Y526,IF($J$1="August",Y526,IF($J$1="September",Y527,IF($J$1="October",Y528,IF($J$1="November",Y529,IF($J$1="December",Y530)))))))))))))</f>
        <v>18000</v>
      </c>
      <c r="H527" s="149"/>
      <c r="I527" s="529" t="s">
        <v>13</v>
      </c>
      <c r="J527" s="503"/>
      <c r="K527" s="37">
        <f>K525-K526</f>
        <v>36112.5</v>
      </c>
      <c r="L527" s="180"/>
      <c r="M527" s="158"/>
      <c r="N527" s="175"/>
      <c r="O527" s="176" t="s">
        <v>116</v>
      </c>
      <c r="P527" s="176">
        <v>30</v>
      </c>
      <c r="Q527" s="176">
        <v>0</v>
      </c>
      <c r="R527" s="176">
        <v>0</v>
      </c>
      <c r="S527" s="156"/>
      <c r="T527" s="176" t="s">
        <v>116</v>
      </c>
      <c r="U527" s="182">
        <f>Y526</f>
        <v>21000</v>
      </c>
      <c r="V527" s="178"/>
      <c r="W527" s="182">
        <f t="shared" si="149"/>
        <v>21000</v>
      </c>
      <c r="X527" s="178">
        <v>3000</v>
      </c>
      <c r="Y527" s="182">
        <f t="shared" si="150"/>
        <v>18000</v>
      </c>
      <c r="Z527" s="183"/>
      <c r="AA527" s="158"/>
      <c r="AB527" s="158"/>
      <c r="AC527" s="158"/>
    </row>
    <row r="528" spans="1:29" ht="18" customHeight="1" x14ac:dyDescent="0.2">
      <c r="A528" s="163"/>
      <c r="B528" s="149"/>
      <c r="C528" s="149"/>
      <c r="D528" s="149"/>
      <c r="E528" s="149"/>
      <c r="F528" s="149"/>
      <c r="G528" s="149"/>
      <c r="H528" s="149"/>
      <c r="I528" s="530"/>
      <c r="J528" s="531"/>
      <c r="K528" s="151"/>
      <c r="L528" s="186"/>
      <c r="M528" s="158"/>
      <c r="N528" s="175"/>
      <c r="O528" s="176" t="s">
        <v>117</v>
      </c>
      <c r="P528" s="176"/>
      <c r="Q528" s="176"/>
      <c r="R528" s="176">
        <v>0</v>
      </c>
      <c r="S528" s="156"/>
      <c r="T528" s="176" t="s">
        <v>117</v>
      </c>
      <c r="U528" s="182"/>
      <c r="V528" s="178"/>
      <c r="W528" s="182" t="str">
        <f t="shared" si="149"/>
        <v/>
      </c>
      <c r="X528" s="178"/>
      <c r="Y528" s="182" t="str">
        <f t="shared" si="150"/>
        <v/>
      </c>
      <c r="Z528" s="183"/>
      <c r="AA528" s="158"/>
      <c r="AB528" s="158"/>
      <c r="AC528" s="158"/>
    </row>
    <row r="529" spans="1:29" ht="18" customHeight="1" x14ac:dyDescent="0.3">
      <c r="A529" s="163"/>
      <c r="B529" s="147"/>
      <c r="C529" s="147"/>
      <c r="D529" s="147"/>
      <c r="E529" s="147"/>
      <c r="F529" s="147"/>
      <c r="G529" s="147"/>
      <c r="H529" s="147"/>
      <c r="I529" s="530"/>
      <c r="J529" s="531"/>
      <c r="K529" s="151"/>
      <c r="L529" s="186"/>
      <c r="M529" s="158"/>
      <c r="N529" s="175"/>
      <c r="O529" s="176" t="s">
        <v>118</v>
      </c>
      <c r="P529" s="176"/>
      <c r="Q529" s="176"/>
      <c r="R529" s="176">
        <v>0</v>
      </c>
      <c r="S529" s="156"/>
      <c r="T529" s="176" t="s">
        <v>118</v>
      </c>
      <c r="U529" s="182"/>
      <c r="V529" s="178"/>
      <c r="W529" s="182" t="str">
        <f t="shared" si="149"/>
        <v/>
      </c>
      <c r="X529" s="178"/>
      <c r="Y529" s="182" t="str">
        <f t="shared" si="150"/>
        <v/>
      </c>
      <c r="Z529" s="183"/>
      <c r="AA529" s="158"/>
      <c r="AB529" s="158"/>
      <c r="AC529" s="158"/>
    </row>
    <row r="530" spans="1:29" ht="18" customHeight="1" thickBot="1" x14ac:dyDescent="0.35">
      <c r="A530" s="197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9"/>
      <c r="M530" s="158"/>
      <c r="N530" s="175"/>
      <c r="O530" s="176" t="s">
        <v>119</v>
      </c>
      <c r="P530" s="176"/>
      <c r="Q530" s="176"/>
      <c r="R530" s="176">
        <v>0</v>
      </c>
      <c r="S530" s="156"/>
      <c r="T530" s="176" t="s">
        <v>119</v>
      </c>
      <c r="U530" s="182"/>
      <c r="V530" s="178"/>
      <c r="W530" s="182" t="str">
        <f t="shared" si="149"/>
        <v/>
      </c>
      <c r="X530" s="178"/>
      <c r="Y530" s="182" t="str">
        <f t="shared" si="150"/>
        <v/>
      </c>
      <c r="Z530" s="183"/>
      <c r="AA530" s="158"/>
      <c r="AB530" s="158"/>
      <c r="AC530" s="158"/>
    </row>
    <row r="531" spans="1:29" ht="18" customHeight="1" thickBot="1" x14ac:dyDescent="0.25">
      <c r="A531" s="200"/>
      <c r="B531" s="200"/>
      <c r="C531" s="200"/>
      <c r="D531" s="200"/>
      <c r="E531" s="200"/>
      <c r="F531" s="200"/>
      <c r="G531" s="200"/>
      <c r="H531" s="200"/>
      <c r="I531" s="200"/>
      <c r="J531" s="200"/>
      <c r="K531" s="200"/>
      <c r="L531" s="200"/>
      <c r="M531" s="201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1"/>
      <c r="AB531" s="201"/>
      <c r="AC531" s="201"/>
    </row>
    <row r="532" spans="1:29" ht="18" customHeight="1" thickBot="1" x14ac:dyDescent="0.25">
      <c r="A532" s="532" t="s">
        <v>87</v>
      </c>
      <c r="B532" s="533"/>
      <c r="C532" s="533"/>
      <c r="D532" s="533"/>
      <c r="E532" s="533"/>
      <c r="F532" s="533"/>
      <c r="G532" s="533"/>
      <c r="H532" s="533"/>
      <c r="I532" s="533"/>
      <c r="J532" s="533"/>
      <c r="K532" s="533"/>
      <c r="L532" s="534"/>
      <c r="M532" s="159"/>
      <c r="N532" s="160"/>
      <c r="O532" s="524" t="s">
        <v>88</v>
      </c>
      <c r="P532" s="525"/>
      <c r="Q532" s="525"/>
      <c r="R532" s="526"/>
      <c r="S532" s="161"/>
      <c r="T532" s="524" t="s">
        <v>89</v>
      </c>
      <c r="U532" s="525"/>
      <c r="V532" s="525"/>
      <c r="W532" s="525"/>
      <c r="X532" s="525"/>
      <c r="Y532" s="526"/>
      <c r="Z532" s="162"/>
      <c r="AA532" s="159"/>
      <c r="AB532" s="158"/>
      <c r="AC532" s="158"/>
    </row>
    <row r="533" spans="1:29" ht="18" customHeight="1" x14ac:dyDescent="0.2">
      <c r="A533" s="163"/>
      <c r="B533" s="149"/>
      <c r="C533" s="535" t="s">
        <v>185</v>
      </c>
      <c r="D533" s="531"/>
      <c r="E533" s="531"/>
      <c r="F533" s="531"/>
      <c r="G533" s="164" t="str">
        <f>$J$1</f>
        <v>September</v>
      </c>
      <c r="H533" s="536">
        <f>$K$1</f>
        <v>2024</v>
      </c>
      <c r="I533" s="531"/>
      <c r="J533" s="149"/>
      <c r="K533" s="165"/>
      <c r="L533" s="166"/>
      <c r="M533" s="167"/>
      <c r="N533" s="168"/>
      <c r="O533" s="169" t="s">
        <v>91</v>
      </c>
      <c r="P533" s="169" t="s">
        <v>92</v>
      </c>
      <c r="Q533" s="169" t="s">
        <v>93</v>
      </c>
      <c r="R533" s="169" t="s">
        <v>94</v>
      </c>
      <c r="S533" s="170"/>
      <c r="T533" s="169" t="s">
        <v>91</v>
      </c>
      <c r="U533" s="169" t="s">
        <v>95</v>
      </c>
      <c r="V533" s="169" t="s">
        <v>9</v>
      </c>
      <c r="W533" s="169" t="s">
        <v>10</v>
      </c>
      <c r="X533" s="169" t="s">
        <v>11</v>
      </c>
      <c r="Y533" s="169" t="s">
        <v>96</v>
      </c>
      <c r="Z533" s="171"/>
      <c r="AA533" s="167"/>
      <c r="AB533" s="158"/>
      <c r="AC533" s="158"/>
    </row>
    <row r="534" spans="1:29" ht="18" customHeight="1" x14ac:dyDescent="0.2">
      <c r="A534" s="163"/>
      <c r="B534" s="149"/>
      <c r="C534" s="149"/>
      <c r="D534" s="172"/>
      <c r="E534" s="172"/>
      <c r="F534" s="172"/>
      <c r="G534" s="172"/>
      <c r="H534" s="172"/>
      <c r="I534" s="149"/>
      <c r="J534" s="173" t="s">
        <v>97</v>
      </c>
      <c r="K534" s="151">
        <f>18000+3000+1000+3000+3000</f>
        <v>28000</v>
      </c>
      <c r="L534" s="174"/>
      <c r="M534" s="158"/>
      <c r="N534" s="175"/>
      <c r="O534" s="176" t="s">
        <v>98</v>
      </c>
      <c r="P534" s="176">
        <v>31</v>
      </c>
      <c r="Q534" s="176">
        <v>0</v>
      </c>
      <c r="R534" s="176">
        <v>0</v>
      </c>
      <c r="S534" s="177"/>
      <c r="T534" s="176" t="s">
        <v>98</v>
      </c>
      <c r="U534" s="178">
        <v>27000</v>
      </c>
      <c r="V534" s="178"/>
      <c r="W534" s="178">
        <f>V534+U534</f>
        <v>27000</v>
      </c>
      <c r="X534" s="178"/>
      <c r="Y534" s="178">
        <f>W534-X534</f>
        <v>27000</v>
      </c>
      <c r="Z534" s="171"/>
      <c r="AA534" s="158"/>
      <c r="AB534" s="158"/>
      <c r="AC534" s="158"/>
    </row>
    <row r="535" spans="1:29" ht="18" customHeight="1" x14ac:dyDescent="0.2">
      <c r="A535" s="163"/>
      <c r="B535" s="149" t="s">
        <v>99</v>
      </c>
      <c r="C535" s="148" t="s">
        <v>186</v>
      </c>
      <c r="D535" s="149"/>
      <c r="E535" s="149"/>
      <c r="F535" s="149"/>
      <c r="G535" s="149"/>
      <c r="H535" s="179"/>
      <c r="I535" s="172"/>
      <c r="J535" s="149"/>
      <c r="K535" s="149"/>
      <c r="L535" s="180"/>
      <c r="M535" s="159"/>
      <c r="N535" s="181"/>
      <c r="O535" s="176" t="s">
        <v>100</v>
      </c>
      <c r="P535" s="176">
        <v>29</v>
      </c>
      <c r="Q535" s="176">
        <v>0</v>
      </c>
      <c r="R535" s="176">
        <v>0</v>
      </c>
      <c r="S535" s="156"/>
      <c r="T535" s="176" t="s">
        <v>100</v>
      </c>
      <c r="U535" s="182">
        <f t="shared" ref="U535:U536" si="152">Y534</f>
        <v>27000</v>
      </c>
      <c r="V535" s="178"/>
      <c r="W535" s="182">
        <f t="shared" ref="W535:W545" si="153">IF(U535="","",U535+V535)</f>
        <v>27000</v>
      </c>
      <c r="X535" s="178">
        <v>2000</v>
      </c>
      <c r="Y535" s="182">
        <f t="shared" ref="Y535:Y545" si="154">IF(W535="","",W535-X535)</f>
        <v>25000</v>
      </c>
      <c r="Z535" s="183"/>
      <c r="AA535" s="159"/>
      <c r="AB535" s="158"/>
      <c r="AC535" s="158"/>
    </row>
    <row r="536" spans="1:29" ht="18" customHeight="1" x14ac:dyDescent="0.2">
      <c r="A536" s="163"/>
      <c r="B536" s="184" t="s">
        <v>101</v>
      </c>
      <c r="C536" s="185"/>
      <c r="D536" s="149"/>
      <c r="E536" s="149"/>
      <c r="F536" s="529" t="s">
        <v>89</v>
      </c>
      <c r="G536" s="503"/>
      <c r="H536" s="149"/>
      <c r="I536" s="529" t="s">
        <v>102</v>
      </c>
      <c r="J536" s="502"/>
      <c r="K536" s="503"/>
      <c r="L536" s="186"/>
      <c r="M536" s="158"/>
      <c r="N536" s="175"/>
      <c r="O536" s="176" t="s">
        <v>103</v>
      </c>
      <c r="P536" s="176">
        <v>31</v>
      </c>
      <c r="Q536" s="176">
        <v>0</v>
      </c>
      <c r="R536" s="176">
        <f>IF(Q536="","",R535-Q536)</f>
        <v>0</v>
      </c>
      <c r="S536" s="156"/>
      <c r="T536" s="176" t="s">
        <v>103</v>
      </c>
      <c r="U536" s="182">
        <f t="shared" si="152"/>
        <v>25000</v>
      </c>
      <c r="V536" s="178"/>
      <c r="W536" s="182">
        <f t="shared" si="153"/>
        <v>25000</v>
      </c>
      <c r="X536" s="178"/>
      <c r="Y536" s="182">
        <f t="shared" si="154"/>
        <v>25000</v>
      </c>
      <c r="Z536" s="183"/>
      <c r="AA536" s="158"/>
      <c r="AB536" s="158"/>
      <c r="AC536" s="158"/>
    </row>
    <row r="537" spans="1:29" ht="18" customHeight="1" x14ac:dyDescent="0.2">
      <c r="A537" s="163"/>
      <c r="B537" s="149"/>
      <c r="C537" s="149"/>
      <c r="D537" s="149"/>
      <c r="E537" s="149"/>
      <c r="F537" s="149"/>
      <c r="G537" s="149"/>
      <c r="H537" s="187"/>
      <c r="I537" s="149"/>
      <c r="J537" s="149"/>
      <c r="K537" s="149"/>
      <c r="L537" s="188"/>
      <c r="M537" s="158"/>
      <c r="N537" s="175"/>
      <c r="O537" s="176" t="s">
        <v>104</v>
      </c>
      <c r="P537" s="176">
        <v>30</v>
      </c>
      <c r="Q537" s="176">
        <v>0</v>
      </c>
      <c r="R537" s="176">
        <v>0</v>
      </c>
      <c r="S537" s="156"/>
      <c r="T537" s="176" t="s">
        <v>104</v>
      </c>
      <c r="U537" s="182">
        <f>IF($J$1="March","",Y536)</f>
        <v>25000</v>
      </c>
      <c r="V537" s="178">
        <v>3000</v>
      </c>
      <c r="W537" s="182">
        <f t="shared" si="153"/>
        <v>28000</v>
      </c>
      <c r="X537" s="178">
        <v>2000</v>
      </c>
      <c r="Y537" s="182">
        <f t="shared" si="154"/>
        <v>26000</v>
      </c>
      <c r="Z537" s="183"/>
      <c r="AA537" s="158"/>
      <c r="AB537" s="158"/>
      <c r="AC537" s="158"/>
    </row>
    <row r="538" spans="1:29" ht="18" customHeight="1" x14ac:dyDescent="0.2">
      <c r="A538" s="163"/>
      <c r="B538" s="527" t="s">
        <v>88</v>
      </c>
      <c r="C538" s="503"/>
      <c r="D538" s="149"/>
      <c r="E538" s="149"/>
      <c r="F538" s="189" t="s">
        <v>105</v>
      </c>
      <c r="G538" s="190">
        <f>IF($J$1="January",U534,IF($J$1="February",U535,IF($J$1="March",U536,IF($J$1="April",U537,IF($J$1="May",U538,IF($J$1="June",U539,IF($J$1="July",U540,IF($J$1="August",U541,IF($J$1="August",U541,IF($J$1="September",U542,IF($J$1="October",U543,IF($J$1="November",U544,IF($J$1="December",U545)))))))))))))</f>
        <v>37000</v>
      </c>
      <c r="H538" s="187"/>
      <c r="I538" s="191">
        <f>IF(C542&gt;=C541,$K$2,C540+C542)</f>
        <v>30</v>
      </c>
      <c r="J538" s="192" t="s">
        <v>106</v>
      </c>
      <c r="K538" s="193">
        <f>K534/$K$2*I538</f>
        <v>28000</v>
      </c>
      <c r="L538" s="194"/>
      <c r="M538" s="158"/>
      <c r="N538" s="175"/>
      <c r="O538" s="176" t="s">
        <v>107</v>
      </c>
      <c r="P538" s="176">
        <v>31</v>
      </c>
      <c r="Q538" s="176">
        <v>0</v>
      </c>
      <c r="R538" s="176">
        <v>0</v>
      </c>
      <c r="S538" s="156"/>
      <c r="T538" s="176" t="s">
        <v>107</v>
      </c>
      <c r="U538" s="182">
        <f t="shared" ref="U538:U539" si="155">Y537</f>
        <v>26000</v>
      </c>
      <c r="V538" s="178"/>
      <c r="W538" s="182">
        <f t="shared" si="153"/>
        <v>26000</v>
      </c>
      <c r="X538" s="178">
        <v>2000</v>
      </c>
      <c r="Y538" s="182">
        <f t="shared" si="154"/>
        <v>24000</v>
      </c>
      <c r="Z538" s="183"/>
      <c r="AA538" s="158"/>
      <c r="AB538" s="158"/>
      <c r="AC538" s="158"/>
    </row>
    <row r="539" spans="1:29" ht="18" customHeight="1" x14ac:dyDescent="0.2">
      <c r="A539" s="163"/>
      <c r="B539" s="195"/>
      <c r="C539" s="195"/>
      <c r="D539" s="149"/>
      <c r="E539" s="149"/>
      <c r="F539" s="189" t="s">
        <v>9</v>
      </c>
      <c r="G539" s="190">
        <f>IF($J$1="January",V534,IF($J$1="February",V535,IF($J$1="March",V536,IF($J$1="April",V537,IF($J$1="May",V538,IF($J$1="June",V539,IF($J$1="July",V540,IF($J$1="August",V541,IF($J$1="August",V541,IF($J$1="September",V542,IF($J$1="October",V543,IF($J$1="November",V544,IF($J$1="December",V545)))))))))))))</f>
        <v>0</v>
      </c>
      <c r="H539" s="187"/>
      <c r="I539" s="191">
        <v>71</v>
      </c>
      <c r="J539" s="192" t="s">
        <v>108</v>
      </c>
      <c r="K539" s="190">
        <f>K534/$K$2/8*I539</f>
        <v>8283.3333333333339</v>
      </c>
      <c r="L539" s="196"/>
      <c r="M539" s="158"/>
      <c r="N539" s="175"/>
      <c r="O539" s="176" t="s">
        <v>84</v>
      </c>
      <c r="P539" s="176">
        <v>30</v>
      </c>
      <c r="Q539" s="176">
        <v>0</v>
      </c>
      <c r="R539" s="176">
        <v>0</v>
      </c>
      <c r="S539" s="156"/>
      <c r="T539" s="176" t="s">
        <v>84</v>
      </c>
      <c r="U539" s="182">
        <f t="shared" si="155"/>
        <v>24000</v>
      </c>
      <c r="V539" s="178">
        <v>2000</v>
      </c>
      <c r="W539" s="182">
        <f t="shared" si="153"/>
        <v>26000</v>
      </c>
      <c r="X539" s="178">
        <v>4000</v>
      </c>
      <c r="Y539" s="182">
        <f t="shared" si="154"/>
        <v>22000</v>
      </c>
      <c r="Z539" s="183"/>
      <c r="AA539" s="158"/>
      <c r="AB539" s="158"/>
      <c r="AC539" s="158"/>
    </row>
    <row r="540" spans="1:29" ht="18" customHeight="1" x14ac:dyDescent="0.2">
      <c r="A540" s="163"/>
      <c r="B540" s="189" t="s">
        <v>92</v>
      </c>
      <c r="C540" s="195">
        <f>IF($J$1="January",P534,IF($J$1="February",P535,IF($J$1="March",P536,IF($J$1="April",P537,IF($J$1="May",P538,IF($J$1="June",P539,IF($J$1="July",P540,IF($J$1="August",P541,IF($J$1="August",P541,IF($J$1="September",P542,IF($J$1="October",P543,IF($J$1="November",P544,IF($J$1="December",P545)))))))))))))</f>
        <v>30</v>
      </c>
      <c r="D540" s="149"/>
      <c r="E540" s="149"/>
      <c r="F540" s="189" t="s">
        <v>109</v>
      </c>
      <c r="G540" s="190">
        <f>IF($J$1="January",W534,IF($J$1="February",W535,IF($J$1="March",W536,IF($J$1="April",W537,IF($J$1="May",W538,IF($J$1="June",W539,IF($J$1="July",W540,IF($J$1="August",W541,IF($J$1="August",W541,IF($J$1="September",W542,IF($J$1="October",W543,IF($J$1="November",W544,IF($J$1="December",W545)))))))))))))</f>
        <v>37000</v>
      </c>
      <c r="H540" s="187"/>
      <c r="I540" s="528" t="s">
        <v>110</v>
      </c>
      <c r="J540" s="503"/>
      <c r="K540" s="190">
        <f>K538+K539</f>
        <v>36283.333333333336</v>
      </c>
      <c r="L540" s="196"/>
      <c r="M540" s="158"/>
      <c r="N540" s="175"/>
      <c r="O540" s="176" t="s">
        <v>111</v>
      </c>
      <c r="P540" s="176">
        <v>31</v>
      </c>
      <c r="Q540" s="176">
        <v>0</v>
      </c>
      <c r="R540" s="176">
        <v>0</v>
      </c>
      <c r="S540" s="156"/>
      <c r="T540" s="176" t="s">
        <v>111</v>
      </c>
      <c r="U540" s="182">
        <f>Y539</f>
        <v>22000</v>
      </c>
      <c r="V540" s="178">
        <f>5000+20000</f>
        <v>25000</v>
      </c>
      <c r="W540" s="182">
        <f t="shared" si="153"/>
        <v>47000</v>
      </c>
      <c r="X540" s="178">
        <v>5000</v>
      </c>
      <c r="Y540" s="182">
        <f t="shared" si="154"/>
        <v>42000</v>
      </c>
      <c r="Z540" s="183"/>
      <c r="AA540" s="158"/>
      <c r="AB540" s="158"/>
      <c r="AC540" s="158"/>
    </row>
    <row r="541" spans="1:29" ht="18" customHeight="1" x14ac:dyDescent="0.2">
      <c r="A541" s="163"/>
      <c r="B541" s="189" t="s">
        <v>93</v>
      </c>
      <c r="C541" s="195">
        <f>IF($J$1="January",Q534,IF($J$1="February",Q535,IF($J$1="March",Q536,IF($J$1="April",Q537,IF($J$1="May",Q538,IF($J$1="June",Q539,IF($J$1="July",Q540,IF($J$1="August",Q541,IF($J$1="August",Q541,IF($J$1="September",Q542,IF($J$1="October",Q543,IF($J$1="November",Q544,IF($J$1="December",Q545)))))))))))))</f>
        <v>0</v>
      </c>
      <c r="D541" s="149"/>
      <c r="E541" s="149"/>
      <c r="F541" s="189" t="s">
        <v>11</v>
      </c>
      <c r="G541" s="190">
        <f>IF($J$1="January",X534,IF($J$1="February",X535,IF($J$1="March",X536,IF($J$1="April",X537,IF($J$1="May",X538,IF($J$1="June",X539,IF($J$1="July",X540,IF($J$1="August",X541,IF($J$1="August",X541,IF($J$1="September",X542,IF($J$1="October",X543,IF($J$1="November",X544,IF($J$1="December",X545)))))))))))))</f>
        <v>0</v>
      </c>
      <c r="H541" s="187"/>
      <c r="I541" s="528" t="s">
        <v>112</v>
      </c>
      <c r="J541" s="503"/>
      <c r="K541" s="190">
        <f>G541</f>
        <v>0</v>
      </c>
      <c r="L541" s="196"/>
      <c r="M541" s="158"/>
      <c r="N541" s="175"/>
      <c r="O541" s="176" t="s">
        <v>113</v>
      </c>
      <c r="P541" s="176">
        <v>22</v>
      </c>
      <c r="Q541" s="176">
        <v>9</v>
      </c>
      <c r="R541" s="176">
        <v>0</v>
      </c>
      <c r="S541" s="156"/>
      <c r="T541" s="176" t="s">
        <v>113</v>
      </c>
      <c r="U541" s="182">
        <f>Y540</f>
        <v>42000</v>
      </c>
      <c r="V541" s="178"/>
      <c r="W541" s="182">
        <f t="shared" si="153"/>
        <v>42000</v>
      </c>
      <c r="X541" s="178">
        <v>5000</v>
      </c>
      <c r="Y541" s="182">
        <f t="shared" si="154"/>
        <v>37000</v>
      </c>
      <c r="Z541" s="183"/>
      <c r="AA541" s="158"/>
      <c r="AB541" s="158"/>
      <c r="AC541" s="158"/>
    </row>
    <row r="542" spans="1:29" ht="18" customHeight="1" x14ac:dyDescent="0.2">
      <c r="A542" s="163"/>
      <c r="B542" s="204" t="s">
        <v>114</v>
      </c>
      <c r="C542" s="195">
        <f>IF($J$1="January",R534,IF($J$1="February",R535,IF($J$1="March",R536,IF($J$1="April",R537,IF($J$1="May",R538,IF($J$1="June",R539,IF($J$1="July",R540,IF($J$1="August",R541,IF($J$1="August",R541,IF($J$1="September",R542,IF($J$1="October",R543,IF($J$1="November",R544,IF($J$1="December",R545)))))))))))))</f>
        <v>0</v>
      </c>
      <c r="D542" s="149"/>
      <c r="E542" s="149"/>
      <c r="F542" s="204" t="s">
        <v>115</v>
      </c>
      <c r="G542" s="190">
        <f>IF($J$1="January",Y534,IF($J$1="February",Y535,IF($J$1="March",Y536,IF($J$1="April",Y537,IF($J$1="May",Y538,IF($J$1="June",Y539,IF($J$1="July",Y540,IF($J$1="August",Y541,IF($J$1="August",Y541,IF($J$1="September",Y542,IF($J$1="October",Y543,IF($J$1="November",Y544,IF($J$1="December",Y545)))))))))))))</f>
        <v>37000</v>
      </c>
      <c r="H542" s="149"/>
      <c r="I542" s="529" t="s">
        <v>13</v>
      </c>
      <c r="J542" s="503"/>
      <c r="K542" s="37">
        <f>K540-K541</f>
        <v>36283.333333333336</v>
      </c>
      <c r="L542" s="180"/>
      <c r="M542" s="158"/>
      <c r="N542" s="175"/>
      <c r="O542" s="176" t="s">
        <v>116</v>
      </c>
      <c r="P542" s="176">
        <v>30</v>
      </c>
      <c r="Q542" s="176">
        <v>0</v>
      </c>
      <c r="R542" s="176">
        <v>0</v>
      </c>
      <c r="S542" s="156"/>
      <c r="T542" s="176" t="s">
        <v>116</v>
      </c>
      <c r="U542" s="182">
        <f>Y541</f>
        <v>37000</v>
      </c>
      <c r="V542" s="178"/>
      <c r="W542" s="182">
        <f t="shared" si="153"/>
        <v>37000</v>
      </c>
      <c r="X542" s="178"/>
      <c r="Y542" s="182">
        <f t="shared" si="154"/>
        <v>37000</v>
      </c>
      <c r="Z542" s="183"/>
      <c r="AA542" s="158"/>
      <c r="AB542" s="158"/>
      <c r="AC542" s="158"/>
    </row>
    <row r="543" spans="1:29" ht="18" customHeight="1" x14ac:dyDescent="0.2">
      <c r="A543" s="163"/>
      <c r="B543" s="149"/>
      <c r="C543" s="149"/>
      <c r="D543" s="149"/>
      <c r="E543" s="149"/>
      <c r="F543" s="149"/>
      <c r="G543" s="149"/>
      <c r="H543" s="149"/>
      <c r="I543" s="530"/>
      <c r="J543" s="531"/>
      <c r="K543" s="151"/>
      <c r="L543" s="186"/>
      <c r="M543" s="158"/>
      <c r="N543" s="175"/>
      <c r="O543" s="176" t="s">
        <v>117</v>
      </c>
      <c r="P543" s="176"/>
      <c r="Q543" s="176"/>
      <c r="R543" s="176">
        <v>0</v>
      </c>
      <c r="S543" s="156"/>
      <c r="T543" s="176" t="s">
        <v>117</v>
      </c>
      <c r="U543" s="182"/>
      <c r="V543" s="178"/>
      <c r="W543" s="182" t="str">
        <f t="shared" si="153"/>
        <v/>
      </c>
      <c r="X543" s="178"/>
      <c r="Y543" s="182" t="str">
        <f t="shared" si="154"/>
        <v/>
      </c>
      <c r="Z543" s="183"/>
      <c r="AA543" s="158"/>
      <c r="AB543" s="158"/>
      <c r="AC543" s="158"/>
    </row>
    <row r="544" spans="1:29" ht="18" customHeight="1" x14ac:dyDescent="0.3">
      <c r="A544" s="163"/>
      <c r="B544" s="147"/>
      <c r="C544" s="147"/>
      <c r="D544" s="147"/>
      <c r="E544" s="147"/>
      <c r="F544" s="147"/>
      <c r="G544" s="147"/>
      <c r="H544" s="147"/>
      <c r="I544" s="530"/>
      <c r="J544" s="531"/>
      <c r="K544" s="151"/>
      <c r="L544" s="186"/>
      <c r="M544" s="158"/>
      <c r="N544" s="175"/>
      <c r="O544" s="176" t="s">
        <v>118</v>
      </c>
      <c r="P544" s="176"/>
      <c r="Q544" s="176"/>
      <c r="R544" s="176">
        <v>0</v>
      </c>
      <c r="S544" s="156"/>
      <c r="T544" s="176" t="s">
        <v>118</v>
      </c>
      <c r="U544" s="182"/>
      <c r="V544" s="178"/>
      <c r="W544" s="182" t="str">
        <f t="shared" si="153"/>
        <v/>
      </c>
      <c r="X544" s="178"/>
      <c r="Y544" s="182" t="str">
        <f t="shared" si="154"/>
        <v/>
      </c>
      <c r="Z544" s="183"/>
      <c r="AA544" s="158"/>
      <c r="AB544" s="158"/>
      <c r="AC544" s="158"/>
    </row>
    <row r="545" spans="1:29" ht="18" customHeight="1" thickBot="1" x14ac:dyDescent="0.35">
      <c r="A545" s="197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9"/>
      <c r="M545" s="158"/>
      <c r="N545" s="175"/>
      <c r="O545" s="176" t="s">
        <v>119</v>
      </c>
      <c r="P545" s="176"/>
      <c r="Q545" s="176"/>
      <c r="R545" s="176">
        <v>0</v>
      </c>
      <c r="S545" s="156"/>
      <c r="T545" s="176" t="s">
        <v>119</v>
      </c>
      <c r="U545" s="182"/>
      <c r="V545" s="178"/>
      <c r="W545" s="182" t="str">
        <f t="shared" si="153"/>
        <v/>
      </c>
      <c r="X545" s="178"/>
      <c r="Y545" s="182" t="str">
        <f t="shared" si="154"/>
        <v/>
      </c>
      <c r="Z545" s="183"/>
      <c r="AA545" s="158"/>
      <c r="AB545" s="158"/>
      <c r="AC545" s="158"/>
    </row>
    <row r="546" spans="1:29" ht="18" customHeight="1" thickBot="1" x14ac:dyDescent="0.25">
      <c r="A546" s="200"/>
      <c r="B546" s="200"/>
      <c r="C546" s="200"/>
      <c r="D546" s="200"/>
      <c r="E546" s="200"/>
      <c r="F546" s="200"/>
      <c r="G546" s="200"/>
      <c r="H546" s="200"/>
      <c r="I546" s="200"/>
      <c r="J546" s="200"/>
      <c r="K546" s="200"/>
      <c r="L546" s="200"/>
      <c r="M546" s="201"/>
      <c r="N546" s="202"/>
      <c r="O546" s="202"/>
      <c r="P546" s="202"/>
      <c r="Q546" s="202"/>
      <c r="R546" s="202"/>
      <c r="S546" s="202"/>
      <c r="T546" s="202"/>
      <c r="U546" s="202"/>
      <c r="V546" s="202"/>
      <c r="W546" s="202"/>
      <c r="X546" s="202"/>
      <c r="Y546" s="202"/>
      <c r="Z546" s="202"/>
      <c r="AA546" s="201"/>
      <c r="AB546" s="201"/>
      <c r="AC546" s="201"/>
    </row>
    <row r="547" spans="1:29" ht="18" customHeight="1" thickBot="1" x14ac:dyDescent="0.25">
      <c r="A547" s="532" t="s">
        <v>87</v>
      </c>
      <c r="B547" s="533"/>
      <c r="C547" s="533"/>
      <c r="D547" s="533"/>
      <c r="E547" s="533"/>
      <c r="F547" s="533"/>
      <c r="G547" s="533"/>
      <c r="H547" s="533"/>
      <c r="I547" s="533"/>
      <c r="J547" s="533"/>
      <c r="K547" s="533"/>
      <c r="L547" s="534"/>
      <c r="M547" s="159"/>
      <c r="N547" s="160"/>
      <c r="O547" s="524" t="s">
        <v>88</v>
      </c>
      <c r="P547" s="525"/>
      <c r="Q547" s="525"/>
      <c r="R547" s="526"/>
      <c r="S547" s="161"/>
      <c r="T547" s="524" t="s">
        <v>89</v>
      </c>
      <c r="U547" s="525"/>
      <c r="V547" s="525"/>
      <c r="W547" s="525"/>
      <c r="X547" s="525"/>
      <c r="Y547" s="526"/>
      <c r="Z547" s="162"/>
      <c r="AA547" s="159"/>
      <c r="AB547" s="158"/>
      <c r="AC547" s="158"/>
    </row>
    <row r="548" spans="1:29" ht="18" customHeight="1" x14ac:dyDescent="0.2">
      <c r="A548" s="163"/>
      <c r="B548" s="149"/>
      <c r="C548" s="535" t="s">
        <v>187</v>
      </c>
      <c r="D548" s="531"/>
      <c r="E548" s="531"/>
      <c r="F548" s="531"/>
      <c r="G548" s="164" t="str">
        <f>$J$1</f>
        <v>September</v>
      </c>
      <c r="H548" s="536">
        <f>$K$1</f>
        <v>2024</v>
      </c>
      <c r="I548" s="531"/>
      <c r="J548" s="149"/>
      <c r="K548" s="165"/>
      <c r="L548" s="166"/>
      <c r="M548" s="167"/>
      <c r="N548" s="168"/>
      <c r="O548" s="169" t="s">
        <v>91</v>
      </c>
      <c r="P548" s="169" t="s">
        <v>92</v>
      </c>
      <c r="Q548" s="169" t="s">
        <v>93</v>
      </c>
      <c r="R548" s="169" t="s">
        <v>94</v>
      </c>
      <c r="S548" s="170"/>
      <c r="T548" s="169" t="s">
        <v>91</v>
      </c>
      <c r="U548" s="169" t="s">
        <v>95</v>
      </c>
      <c r="V548" s="169" t="s">
        <v>9</v>
      </c>
      <c r="W548" s="169" t="s">
        <v>10</v>
      </c>
      <c r="X548" s="169" t="s">
        <v>11</v>
      </c>
      <c r="Y548" s="169" t="s">
        <v>96</v>
      </c>
      <c r="Z548" s="171"/>
      <c r="AA548" s="167"/>
      <c r="AB548" s="158"/>
      <c r="AC548" s="158"/>
    </row>
    <row r="549" spans="1:29" ht="18" customHeight="1" x14ac:dyDescent="0.2">
      <c r="A549" s="163"/>
      <c r="B549" s="149"/>
      <c r="C549" s="149"/>
      <c r="D549" s="172"/>
      <c r="E549" s="172"/>
      <c r="F549" s="172"/>
      <c r="G549" s="172"/>
      <c r="H549" s="172"/>
      <c r="I549" s="149"/>
      <c r="J549" s="173" t="s">
        <v>97</v>
      </c>
      <c r="K549" s="151">
        <v>35000</v>
      </c>
      <c r="L549" s="174"/>
      <c r="M549" s="158"/>
      <c r="N549" s="175"/>
      <c r="O549" s="176" t="s">
        <v>98</v>
      </c>
      <c r="P549" s="176"/>
      <c r="Q549" s="176"/>
      <c r="R549" s="176"/>
      <c r="S549" s="177"/>
      <c r="T549" s="176" t="s">
        <v>98</v>
      </c>
      <c r="U549" s="178"/>
      <c r="V549" s="178"/>
      <c r="W549" s="178">
        <f>V549+U549</f>
        <v>0</v>
      </c>
      <c r="X549" s="178"/>
      <c r="Y549" s="178">
        <f>W549-X549</f>
        <v>0</v>
      </c>
      <c r="Z549" s="171"/>
      <c r="AA549" s="158"/>
      <c r="AB549" s="158"/>
      <c r="AC549" s="158"/>
    </row>
    <row r="550" spans="1:29" ht="18" customHeight="1" x14ac:dyDescent="0.2">
      <c r="A550" s="163"/>
      <c r="B550" s="149" t="s">
        <v>99</v>
      </c>
      <c r="C550" s="148" t="s">
        <v>296</v>
      </c>
      <c r="D550" s="149"/>
      <c r="E550" s="149"/>
      <c r="F550" s="149"/>
      <c r="G550" s="149"/>
      <c r="H550" s="179"/>
      <c r="I550" s="172"/>
      <c r="J550" s="149"/>
      <c r="K550" s="149"/>
      <c r="L550" s="180"/>
      <c r="M550" s="159"/>
      <c r="N550" s="181"/>
      <c r="O550" s="176" t="s">
        <v>100</v>
      </c>
      <c r="P550" s="176"/>
      <c r="Q550" s="176"/>
      <c r="R550" s="176">
        <v>0</v>
      </c>
      <c r="S550" s="156"/>
      <c r="T550" s="176" t="s">
        <v>100</v>
      </c>
      <c r="U550" s="182"/>
      <c r="V550" s="178"/>
      <c r="W550" s="182" t="str">
        <f t="shared" ref="W550:W553" si="156">IF(U550="","",U550+V550)</f>
        <v/>
      </c>
      <c r="X550" s="178"/>
      <c r="Y550" s="182" t="str">
        <f t="shared" ref="Y550:Y560" si="157">IF(W550="","",W550-X550)</f>
        <v/>
      </c>
      <c r="Z550" s="183"/>
      <c r="AA550" s="159"/>
      <c r="AB550" s="158"/>
      <c r="AC550" s="158"/>
    </row>
    <row r="551" spans="1:29" ht="18" customHeight="1" x14ac:dyDescent="0.2">
      <c r="A551" s="163"/>
      <c r="B551" s="184" t="s">
        <v>101</v>
      </c>
      <c r="C551" s="210"/>
      <c r="D551" s="149"/>
      <c r="E551" s="149"/>
      <c r="F551" s="529" t="s">
        <v>89</v>
      </c>
      <c r="G551" s="503"/>
      <c r="H551" s="149"/>
      <c r="I551" s="529" t="s">
        <v>102</v>
      </c>
      <c r="J551" s="502"/>
      <c r="K551" s="503"/>
      <c r="L551" s="186"/>
      <c r="M551" s="158"/>
      <c r="N551" s="175"/>
      <c r="O551" s="176" t="s">
        <v>103</v>
      </c>
      <c r="P551" s="176"/>
      <c r="Q551" s="176"/>
      <c r="R551" s="176">
        <v>0</v>
      </c>
      <c r="S551" s="156"/>
      <c r="T551" s="176" t="s">
        <v>103</v>
      </c>
      <c r="U551" s="182"/>
      <c r="V551" s="178"/>
      <c r="W551" s="182" t="str">
        <f t="shared" si="156"/>
        <v/>
      </c>
      <c r="X551" s="178"/>
      <c r="Y551" s="182" t="str">
        <f t="shared" si="157"/>
        <v/>
      </c>
      <c r="Z551" s="183"/>
      <c r="AA551" s="158"/>
      <c r="AB551" s="158"/>
      <c r="AC551" s="158"/>
    </row>
    <row r="552" spans="1:29" ht="18" customHeight="1" x14ac:dyDescent="0.2">
      <c r="A552" s="163"/>
      <c r="B552" s="149"/>
      <c r="C552" s="149"/>
      <c r="D552" s="149"/>
      <c r="E552" s="149"/>
      <c r="F552" s="149"/>
      <c r="G552" s="149"/>
      <c r="H552" s="187"/>
      <c r="I552" s="149"/>
      <c r="J552" s="149"/>
      <c r="K552" s="149"/>
      <c r="L552" s="188"/>
      <c r="M552" s="158"/>
      <c r="N552" s="175"/>
      <c r="O552" s="176" t="s">
        <v>104</v>
      </c>
      <c r="P552" s="176"/>
      <c r="Q552" s="176"/>
      <c r="R552" s="176">
        <v>0</v>
      </c>
      <c r="S552" s="156"/>
      <c r="T552" s="176" t="s">
        <v>104</v>
      </c>
      <c r="U552" s="182" t="str">
        <f>IF($J$1="March","",Y551)</f>
        <v/>
      </c>
      <c r="V552" s="178"/>
      <c r="W552" s="182" t="str">
        <f t="shared" si="156"/>
        <v/>
      </c>
      <c r="X552" s="178"/>
      <c r="Y552" s="182" t="str">
        <f t="shared" si="157"/>
        <v/>
      </c>
      <c r="Z552" s="183"/>
      <c r="AA552" s="158"/>
      <c r="AB552" s="158"/>
      <c r="AC552" s="158"/>
    </row>
    <row r="553" spans="1:29" ht="18" customHeight="1" x14ac:dyDescent="0.2">
      <c r="A553" s="163"/>
      <c r="B553" s="527" t="s">
        <v>88</v>
      </c>
      <c r="C553" s="503"/>
      <c r="D553" s="149"/>
      <c r="E553" s="149"/>
      <c r="F553" s="189" t="s">
        <v>105</v>
      </c>
      <c r="G553" s="190">
        <f>IF($J$1="January",U549,IF($J$1="February",U550,IF($J$1="March",U551,IF($J$1="April",U552,IF($J$1="May",U553,IF($J$1="June",U554,IF($J$1="July",U555,IF($J$1="August",U556,IF($J$1="August",U556,IF($J$1="September",U557,IF($J$1="October",U558,IF($J$1="November",U559,IF($J$1="December",U560)))))))))))))</f>
        <v>0</v>
      </c>
      <c r="H553" s="187"/>
      <c r="I553" s="191">
        <f>IF(C557&gt;=C556,$K$2,C555+C557)</f>
        <v>17</v>
      </c>
      <c r="J553" s="192" t="s">
        <v>106</v>
      </c>
      <c r="K553" s="193">
        <f>K549/$K$2*I553</f>
        <v>19833.333333333336</v>
      </c>
      <c r="L553" s="194"/>
      <c r="M553" s="158"/>
      <c r="N553" s="175"/>
      <c r="O553" s="176" t="s">
        <v>107</v>
      </c>
      <c r="P553" s="176"/>
      <c r="Q553" s="176"/>
      <c r="R553" s="176">
        <v>0</v>
      </c>
      <c r="S553" s="156"/>
      <c r="T553" s="176" t="s">
        <v>107</v>
      </c>
      <c r="U553" s="182" t="str">
        <f t="shared" ref="U553:U554" si="158">Y552</f>
        <v/>
      </c>
      <c r="V553" s="178"/>
      <c r="W553" s="182" t="str">
        <f t="shared" si="156"/>
        <v/>
      </c>
      <c r="X553" s="178"/>
      <c r="Y553" s="182" t="str">
        <f t="shared" si="157"/>
        <v/>
      </c>
      <c r="Z553" s="183"/>
      <c r="AA553" s="158"/>
      <c r="AB553" s="158"/>
      <c r="AC553" s="158"/>
    </row>
    <row r="554" spans="1:29" ht="18" customHeight="1" x14ac:dyDescent="0.2">
      <c r="A554" s="163"/>
      <c r="B554" s="195"/>
      <c r="C554" s="195"/>
      <c r="D554" s="149"/>
      <c r="E554" s="149"/>
      <c r="F554" s="189" t="s">
        <v>9</v>
      </c>
      <c r="G554" s="190">
        <f>IF($J$1="January",V549,IF($J$1="February",V550,IF($J$1="March",V551,IF($J$1="April",V552,IF($J$1="May",V553,IF($J$1="June",V554,IF($J$1="July",V555,IF($J$1="August",V556,IF($J$1="August",V556,IF($J$1="September",V557,IF($J$1="October",V558,IF($J$1="November",V559,IF($J$1="December",V560)))))))))))))</f>
        <v>0</v>
      </c>
      <c r="H554" s="187"/>
      <c r="I554" s="191"/>
      <c r="J554" s="192" t="s">
        <v>108</v>
      </c>
      <c r="K554" s="190">
        <f>K549/$K$2/8*I554</f>
        <v>0</v>
      </c>
      <c r="L554" s="196"/>
      <c r="M554" s="158"/>
      <c r="N554" s="175"/>
      <c r="O554" s="176" t="s">
        <v>84</v>
      </c>
      <c r="P554" s="176"/>
      <c r="Q554" s="176"/>
      <c r="R554" s="176">
        <v>0</v>
      </c>
      <c r="S554" s="156"/>
      <c r="T554" s="176" t="s">
        <v>84</v>
      </c>
      <c r="U554" s="182" t="str">
        <f t="shared" si="158"/>
        <v/>
      </c>
      <c r="V554" s="178"/>
      <c r="W554" s="182">
        <f>V554</f>
        <v>0</v>
      </c>
      <c r="X554" s="178"/>
      <c r="Y554" s="182">
        <f t="shared" si="157"/>
        <v>0</v>
      </c>
      <c r="Z554" s="183"/>
      <c r="AA554" s="158"/>
      <c r="AB554" s="158"/>
      <c r="AC554" s="158"/>
    </row>
    <row r="555" spans="1:29" ht="18" customHeight="1" x14ac:dyDescent="0.2">
      <c r="A555" s="163"/>
      <c r="B555" s="189" t="s">
        <v>92</v>
      </c>
      <c r="C555" s="195">
        <f>IF($J$1="January",P549,IF($J$1="February",P550,IF($J$1="March",P551,IF($J$1="April",P552,IF($J$1="May",P553,IF($J$1="June",P554,IF($J$1="July",P555,IF($J$1="August",P556,IF($J$1="August",P556,IF($J$1="September",P557,IF($J$1="October",P558,IF($J$1="November",P559,IF($J$1="December",P560)))))))))))))</f>
        <v>17</v>
      </c>
      <c r="D555" s="149"/>
      <c r="E555" s="149"/>
      <c r="F555" s="189" t="s">
        <v>109</v>
      </c>
      <c r="G555" s="190">
        <f>IF($J$1="January",W549,IF($J$1="February",W550,IF($J$1="March",W551,IF($J$1="April",W552,IF($J$1="May",W553,IF($J$1="June",W554,IF($J$1="July",W555,IF($J$1="August",W556,IF($J$1="August",W556,IF($J$1="September",W557,IF($J$1="October",W558,IF($J$1="November",W559,IF($J$1="December",W560)))))))))))))</f>
        <v>0</v>
      </c>
      <c r="H555" s="187"/>
      <c r="I555" s="528" t="s">
        <v>110</v>
      </c>
      <c r="J555" s="503"/>
      <c r="K555" s="190">
        <f>K553+K554</f>
        <v>19833.333333333336</v>
      </c>
      <c r="L555" s="196"/>
      <c r="M555" s="158"/>
      <c r="N555" s="175"/>
      <c r="O555" s="176" t="s">
        <v>111</v>
      </c>
      <c r="P555" s="176">
        <v>31</v>
      </c>
      <c r="Q555" s="176">
        <v>0</v>
      </c>
      <c r="R555" s="176">
        <f>IF(Q555="","",R554-Q555)</f>
        <v>0</v>
      </c>
      <c r="S555" s="156"/>
      <c r="T555" s="176" t="s">
        <v>111</v>
      </c>
      <c r="U555" s="182"/>
      <c r="V555" s="178"/>
      <c r="W555" s="182">
        <f>V555+U555</f>
        <v>0</v>
      </c>
      <c r="X555" s="178"/>
      <c r="Y555" s="182">
        <f t="shared" si="157"/>
        <v>0</v>
      </c>
      <c r="Z555" s="183"/>
      <c r="AA555" s="158"/>
      <c r="AB555" s="158"/>
      <c r="AC555" s="158"/>
    </row>
    <row r="556" spans="1:29" ht="18" customHeight="1" x14ac:dyDescent="0.2">
      <c r="A556" s="163"/>
      <c r="B556" s="189" t="s">
        <v>93</v>
      </c>
      <c r="C556" s="195">
        <f>IF($J$1="January",Q549,IF($J$1="February",Q550,IF($J$1="March",Q551,IF($J$1="April",Q552,IF($J$1="May",Q553,IF($J$1="June",Q554,IF($J$1="July",Q555,IF($J$1="August",Q556,IF($J$1="August",Q556,IF($J$1="September",Q557,IF($J$1="October",Q558,IF($J$1="November",Q559,IF($J$1="December",Q560)))))))))))))</f>
        <v>13</v>
      </c>
      <c r="D556" s="149"/>
      <c r="E556" s="149"/>
      <c r="F556" s="189" t="s">
        <v>11</v>
      </c>
      <c r="G556" s="190">
        <f>IF($J$1="January",X549,IF($J$1="February",X550,IF($J$1="March",X551,IF($J$1="April",X552,IF($J$1="May",X553,IF($J$1="June",X554,IF($J$1="July",X555,IF($J$1="August",X556,IF($J$1="August",X556,IF($J$1="September",X557,IF($J$1="October",X558,IF($J$1="November",X559,IF($J$1="December",X560)))))))))))))</f>
        <v>0</v>
      </c>
      <c r="H556" s="187"/>
      <c r="I556" s="528" t="s">
        <v>112</v>
      </c>
      <c r="J556" s="503"/>
      <c r="K556" s="190">
        <f>G556</f>
        <v>0</v>
      </c>
      <c r="L556" s="196"/>
      <c r="M556" s="158"/>
      <c r="N556" s="175"/>
      <c r="O556" s="176" t="s">
        <v>113</v>
      </c>
      <c r="P556" s="176">
        <v>31</v>
      </c>
      <c r="Q556" s="176">
        <v>0</v>
      </c>
      <c r="R556" s="176">
        <v>0</v>
      </c>
      <c r="S556" s="156"/>
      <c r="T556" s="176" t="s">
        <v>113</v>
      </c>
      <c r="U556" s="182">
        <f>Y555</f>
        <v>0</v>
      </c>
      <c r="V556" s="178"/>
      <c r="W556" s="182">
        <f t="shared" ref="W556:W560" si="159">IF(U556="","",U556+V556)</f>
        <v>0</v>
      </c>
      <c r="X556" s="178"/>
      <c r="Y556" s="182">
        <f t="shared" si="157"/>
        <v>0</v>
      </c>
      <c r="Z556" s="183"/>
      <c r="AA556" s="158"/>
      <c r="AB556" s="158"/>
      <c r="AC556" s="158"/>
    </row>
    <row r="557" spans="1:29" ht="18" customHeight="1" x14ac:dyDescent="0.2">
      <c r="A557" s="163"/>
      <c r="B557" s="204" t="s">
        <v>114</v>
      </c>
      <c r="C557" s="195">
        <f>IF($J$1="January",R549,IF($J$1="February",R550,IF($J$1="March",R551,IF($J$1="April",R552,IF($J$1="May",R553,IF($J$1="June",R554,IF($J$1="July",R555,IF($J$1="August",R556,IF($J$1="August",R556,IF($J$1="September",R557,IF($J$1="October",R558,IF($J$1="November",R559,IF($J$1="December",R560)))))))))))))</f>
        <v>0</v>
      </c>
      <c r="D557" s="149"/>
      <c r="E557" s="149"/>
      <c r="F557" s="204" t="s">
        <v>115</v>
      </c>
      <c r="G557" s="190">
        <f>IF($J$1="January",Y549,IF($J$1="February",Y550,IF($J$1="March",Y551,IF($J$1="April",Y552,IF($J$1="May",Y553,IF($J$1="June",Y554,IF($J$1="July",Y555,IF($J$1="August",Y556,IF($J$1="August",Y556,IF($J$1="September",Y557,IF($J$1="October",Y558,IF($J$1="November",Y559,IF($J$1="December",Y560)))))))))))))</f>
        <v>0</v>
      </c>
      <c r="H557" s="149"/>
      <c r="I557" s="529" t="s">
        <v>13</v>
      </c>
      <c r="J557" s="503"/>
      <c r="K557" s="37">
        <f>K555-K556</f>
        <v>19833.333333333336</v>
      </c>
      <c r="L557" s="180"/>
      <c r="M557" s="158"/>
      <c r="N557" s="175"/>
      <c r="O557" s="176" t="s">
        <v>116</v>
      </c>
      <c r="P557" s="176">
        <v>17</v>
      </c>
      <c r="Q557" s="176">
        <v>13</v>
      </c>
      <c r="R557" s="176">
        <v>0</v>
      </c>
      <c r="S557" s="156"/>
      <c r="T557" s="176" t="s">
        <v>116</v>
      </c>
      <c r="U557" s="182">
        <f>IF($J$1="September",Y556,"")</f>
        <v>0</v>
      </c>
      <c r="V557" s="178"/>
      <c r="W557" s="182">
        <f t="shared" si="159"/>
        <v>0</v>
      </c>
      <c r="X557" s="178"/>
      <c r="Y557" s="182">
        <f t="shared" si="157"/>
        <v>0</v>
      </c>
      <c r="Z557" s="183"/>
      <c r="AA557" s="158"/>
      <c r="AB557" s="158"/>
      <c r="AC557" s="158"/>
    </row>
    <row r="558" spans="1:29" ht="18" customHeight="1" x14ac:dyDescent="0.2">
      <c r="A558" s="163"/>
      <c r="B558" s="149"/>
      <c r="C558" s="149"/>
      <c r="D558" s="149"/>
      <c r="E558" s="149"/>
      <c r="F558" s="149"/>
      <c r="G558" s="149"/>
      <c r="H558" s="149"/>
      <c r="I558" s="530"/>
      <c r="J558" s="531"/>
      <c r="K558" s="151"/>
      <c r="L558" s="186"/>
      <c r="M558" s="158"/>
      <c r="N558" s="175"/>
      <c r="O558" s="176" t="s">
        <v>117</v>
      </c>
      <c r="P558" s="176"/>
      <c r="Q558" s="176"/>
      <c r="R558" s="176">
        <v>0</v>
      </c>
      <c r="S558" s="156"/>
      <c r="T558" s="176" t="s">
        <v>117</v>
      </c>
      <c r="U558" s="182" t="str">
        <f>IF($J$1="October",Y557,"")</f>
        <v/>
      </c>
      <c r="V558" s="178"/>
      <c r="W558" s="182" t="str">
        <f t="shared" si="159"/>
        <v/>
      </c>
      <c r="X558" s="178"/>
      <c r="Y558" s="182" t="str">
        <f t="shared" si="157"/>
        <v/>
      </c>
      <c r="Z558" s="183"/>
      <c r="AA558" s="158"/>
      <c r="AB558" s="158"/>
      <c r="AC558" s="158"/>
    </row>
    <row r="559" spans="1:29" ht="18" customHeight="1" x14ac:dyDescent="0.3">
      <c r="A559" s="163"/>
      <c r="B559" s="147"/>
      <c r="C559" s="147"/>
      <c r="D559" s="147"/>
      <c r="E559" s="147"/>
      <c r="F559" s="147"/>
      <c r="G559" s="147"/>
      <c r="H559" s="147"/>
      <c r="I559" s="530"/>
      <c r="J559" s="531"/>
      <c r="K559" s="151"/>
      <c r="L559" s="186"/>
      <c r="M559" s="158"/>
      <c r="N559" s="175"/>
      <c r="O559" s="176" t="s">
        <v>118</v>
      </c>
      <c r="P559" s="176"/>
      <c r="Q559" s="176"/>
      <c r="R559" s="176">
        <v>0</v>
      </c>
      <c r="S559" s="156"/>
      <c r="T559" s="176" t="s">
        <v>118</v>
      </c>
      <c r="U559" s="182" t="str">
        <f t="shared" ref="U559:U560" si="160">Y558</f>
        <v/>
      </c>
      <c r="V559" s="178"/>
      <c r="W559" s="182" t="str">
        <f t="shared" si="159"/>
        <v/>
      </c>
      <c r="X559" s="178"/>
      <c r="Y559" s="182" t="str">
        <f t="shared" si="157"/>
        <v/>
      </c>
      <c r="Z559" s="183"/>
      <c r="AA559" s="158"/>
      <c r="AB559" s="158"/>
      <c r="AC559" s="158"/>
    </row>
    <row r="560" spans="1:29" ht="18" customHeight="1" thickBot="1" x14ac:dyDescent="0.35">
      <c r="A560" s="197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9"/>
      <c r="M560" s="158"/>
      <c r="N560" s="175"/>
      <c r="O560" s="176" t="s">
        <v>119</v>
      </c>
      <c r="P560" s="176"/>
      <c r="Q560" s="176"/>
      <c r="R560" s="176">
        <v>0</v>
      </c>
      <c r="S560" s="156"/>
      <c r="T560" s="176" t="s">
        <v>119</v>
      </c>
      <c r="U560" s="182" t="str">
        <f t="shared" si="160"/>
        <v/>
      </c>
      <c r="V560" s="178"/>
      <c r="W560" s="182" t="str">
        <f t="shared" si="159"/>
        <v/>
      </c>
      <c r="X560" s="178"/>
      <c r="Y560" s="182" t="str">
        <f t="shared" si="157"/>
        <v/>
      </c>
      <c r="Z560" s="183"/>
      <c r="AA560" s="158"/>
      <c r="AB560" s="158"/>
      <c r="AC560" s="158"/>
    </row>
    <row r="561" spans="1:29" ht="18" customHeight="1" thickBot="1" x14ac:dyDescent="0.25">
      <c r="A561" s="200"/>
      <c r="B561" s="200"/>
      <c r="C561" s="200"/>
      <c r="D561" s="200"/>
      <c r="E561" s="200"/>
      <c r="F561" s="200"/>
      <c r="G561" s="200"/>
      <c r="H561" s="200"/>
      <c r="I561" s="200"/>
      <c r="J561" s="200"/>
      <c r="K561" s="200"/>
      <c r="L561" s="200"/>
      <c r="M561" s="201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202"/>
      <c r="Y561" s="202"/>
      <c r="Z561" s="202"/>
      <c r="AA561" s="201"/>
      <c r="AB561" s="201"/>
      <c r="AC561" s="201"/>
    </row>
    <row r="562" spans="1:29" ht="18" customHeight="1" thickBot="1" x14ac:dyDescent="0.25">
      <c r="A562" s="532" t="s">
        <v>87</v>
      </c>
      <c r="B562" s="533"/>
      <c r="C562" s="533"/>
      <c r="D562" s="533"/>
      <c r="E562" s="533"/>
      <c r="F562" s="533"/>
      <c r="G562" s="533"/>
      <c r="H562" s="533"/>
      <c r="I562" s="533"/>
      <c r="J562" s="533"/>
      <c r="K562" s="533"/>
      <c r="L562" s="534"/>
      <c r="M562" s="159"/>
      <c r="N562" s="160"/>
      <c r="O562" s="524" t="s">
        <v>88</v>
      </c>
      <c r="P562" s="525"/>
      <c r="Q562" s="525"/>
      <c r="R562" s="526"/>
      <c r="S562" s="161"/>
      <c r="T562" s="524" t="s">
        <v>89</v>
      </c>
      <c r="U562" s="525"/>
      <c r="V562" s="525"/>
      <c r="W562" s="525"/>
      <c r="X562" s="525"/>
      <c r="Y562" s="526"/>
      <c r="Z562" s="162"/>
      <c r="AA562" s="159"/>
      <c r="AB562" s="158"/>
      <c r="AC562" s="158"/>
    </row>
    <row r="563" spans="1:29" ht="18" customHeight="1" x14ac:dyDescent="0.2">
      <c r="A563" s="163"/>
      <c r="B563" s="149"/>
      <c r="C563" s="535" t="s">
        <v>188</v>
      </c>
      <c r="D563" s="531"/>
      <c r="E563" s="531"/>
      <c r="F563" s="531"/>
      <c r="G563" s="164" t="str">
        <f>$J$1</f>
        <v>September</v>
      </c>
      <c r="H563" s="536">
        <f>$K$1</f>
        <v>2024</v>
      </c>
      <c r="I563" s="531"/>
      <c r="J563" s="149"/>
      <c r="K563" s="165"/>
      <c r="L563" s="166"/>
      <c r="M563" s="167"/>
      <c r="N563" s="168"/>
      <c r="O563" s="169" t="s">
        <v>91</v>
      </c>
      <c r="P563" s="169" t="s">
        <v>92</v>
      </c>
      <c r="Q563" s="169" t="s">
        <v>93</v>
      </c>
      <c r="R563" s="169" t="s">
        <v>94</v>
      </c>
      <c r="S563" s="170"/>
      <c r="T563" s="169" t="s">
        <v>91</v>
      </c>
      <c r="U563" s="169" t="s">
        <v>95</v>
      </c>
      <c r="V563" s="169" t="s">
        <v>9</v>
      </c>
      <c r="W563" s="169" t="s">
        <v>10</v>
      </c>
      <c r="X563" s="169" t="s">
        <v>11</v>
      </c>
      <c r="Y563" s="169" t="s">
        <v>96</v>
      </c>
      <c r="Z563" s="171"/>
      <c r="AA563" s="167"/>
      <c r="AB563" s="158"/>
      <c r="AC563" s="158"/>
    </row>
    <row r="564" spans="1:29" ht="18" customHeight="1" x14ac:dyDescent="0.2">
      <c r="A564" s="163"/>
      <c r="B564" s="149"/>
      <c r="C564" s="149"/>
      <c r="D564" s="172"/>
      <c r="E564" s="172"/>
      <c r="F564" s="172"/>
      <c r="G564" s="172"/>
      <c r="H564" s="172"/>
      <c r="I564" s="149"/>
      <c r="J564" s="173" t="s">
        <v>97</v>
      </c>
      <c r="K564" s="151">
        <f>30000+5000+5000</f>
        <v>40000</v>
      </c>
      <c r="L564" s="174"/>
      <c r="M564" s="158"/>
      <c r="N564" s="175"/>
      <c r="O564" s="176" t="s">
        <v>98</v>
      </c>
      <c r="P564" s="176">
        <v>31</v>
      </c>
      <c r="Q564" s="176">
        <v>0</v>
      </c>
      <c r="R564" s="176">
        <f>19-Q564+15</f>
        <v>34</v>
      </c>
      <c r="S564" s="177"/>
      <c r="T564" s="176" t="s">
        <v>98</v>
      </c>
      <c r="U564" s="178">
        <v>5000</v>
      </c>
      <c r="V564" s="178"/>
      <c r="W564" s="178">
        <f>V564+U564</f>
        <v>5000</v>
      </c>
      <c r="X564" s="178">
        <v>5000</v>
      </c>
      <c r="Y564" s="178">
        <f>W564-X564</f>
        <v>0</v>
      </c>
      <c r="Z564" s="171"/>
      <c r="AA564" s="158"/>
      <c r="AB564" s="158"/>
      <c r="AC564" s="158"/>
    </row>
    <row r="565" spans="1:29" ht="18" customHeight="1" x14ac:dyDescent="0.2">
      <c r="A565" s="163"/>
      <c r="B565" s="149" t="s">
        <v>99</v>
      </c>
      <c r="C565" s="148" t="s">
        <v>189</v>
      </c>
      <c r="D565" s="149"/>
      <c r="E565" s="149"/>
      <c r="F565" s="149"/>
      <c r="G565" s="149"/>
      <c r="H565" s="179"/>
      <c r="I565" s="172"/>
      <c r="J565" s="149"/>
      <c r="K565" s="149"/>
      <c r="L565" s="180"/>
      <c r="M565" s="159"/>
      <c r="N565" s="181"/>
      <c r="O565" s="176" t="s">
        <v>100</v>
      </c>
      <c r="P565" s="176">
        <v>29</v>
      </c>
      <c r="Q565" s="176">
        <v>0</v>
      </c>
      <c r="R565" s="176">
        <f t="shared" ref="R565:R575" si="161">IF(Q565="","",R564-Q565)</f>
        <v>34</v>
      </c>
      <c r="S565" s="156"/>
      <c r="T565" s="176" t="s">
        <v>100</v>
      </c>
      <c r="U565" s="182">
        <f t="shared" ref="U565:U569" si="162">Y564</f>
        <v>0</v>
      </c>
      <c r="V565" s="178"/>
      <c r="W565" s="182">
        <f t="shared" ref="W565:W575" si="163">IF(U565="","",U565+V565)</f>
        <v>0</v>
      </c>
      <c r="X565" s="178"/>
      <c r="Y565" s="182">
        <f t="shared" ref="Y565:Y575" si="164">IF(W565="","",W565-X565)</f>
        <v>0</v>
      </c>
      <c r="Z565" s="183"/>
      <c r="AA565" s="159"/>
      <c r="AB565" s="158"/>
      <c r="AC565" s="158"/>
    </row>
    <row r="566" spans="1:29" ht="18" customHeight="1" x14ac:dyDescent="0.2">
      <c r="A566" s="163"/>
      <c r="B566" s="184" t="s">
        <v>101</v>
      </c>
      <c r="C566" s="185"/>
      <c r="D566" s="149"/>
      <c r="E566" s="149"/>
      <c r="F566" s="529" t="s">
        <v>89</v>
      </c>
      <c r="G566" s="503"/>
      <c r="H566" s="149"/>
      <c r="I566" s="529" t="s">
        <v>102</v>
      </c>
      <c r="J566" s="502"/>
      <c r="K566" s="503"/>
      <c r="L566" s="186"/>
      <c r="M566" s="158"/>
      <c r="N566" s="175"/>
      <c r="O566" s="176" t="s">
        <v>103</v>
      </c>
      <c r="P566" s="176">
        <v>31</v>
      </c>
      <c r="Q566" s="176">
        <v>0</v>
      </c>
      <c r="R566" s="176">
        <f t="shared" si="161"/>
        <v>34</v>
      </c>
      <c r="S566" s="156"/>
      <c r="T566" s="176" t="s">
        <v>103</v>
      </c>
      <c r="U566" s="182">
        <f t="shared" si="162"/>
        <v>0</v>
      </c>
      <c r="V566" s="178">
        <v>50000</v>
      </c>
      <c r="W566" s="182">
        <f t="shared" si="163"/>
        <v>50000</v>
      </c>
      <c r="X566" s="178"/>
      <c r="Y566" s="182">
        <f t="shared" si="164"/>
        <v>50000</v>
      </c>
      <c r="Z566" s="183"/>
      <c r="AA566" s="158"/>
      <c r="AB566" s="158"/>
      <c r="AC566" s="158"/>
    </row>
    <row r="567" spans="1:29" ht="18" customHeight="1" x14ac:dyDescent="0.2">
      <c r="A567" s="163"/>
      <c r="B567" s="149"/>
      <c r="C567" s="149"/>
      <c r="D567" s="149"/>
      <c r="E567" s="149"/>
      <c r="F567" s="149"/>
      <c r="G567" s="149"/>
      <c r="H567" s="187"/>
      <c r="I567" s="149"/>
      <c r="J567" s="149"/>
      <c r="K567" s="149"/>
      <c r="L567" s="188"/>
      <c r="M567" s="158"/>
      <c r="N567" s="175"/>
      <c r="O567" s="176" t="s">
        <v>104</v>
      </c>
      <c r="P567" s="176">
        <v>18</v>
      </c>
      <c r="Q567" s="176">
        <v>12</v>
      </c>
      <c r="R567" s="176">
        <f t="shared" si="161"/>
        <v>22</v>
      </c>
      <c r="S567" s="156"/>
      <c r="T567" s="176" t="s">
        <v>104</v>
      </c>
      <c r="U567" s="182">
        <f t="shared" si="162"/>
        <v>50000</v>
      </c>
      <c r="V567" s="178"/>
      <c r="W567" s="182">
        <f t="shared" si="163"/>
        <v>50000</v>
      </c>
      <c r="X567" s="178">
        <v>5000</v>
      </c>
      <c r="Y567" s="182">
        <f t="shared" si="164"/>
        <v>45000</v>
      </c>
      <c r="Z567" s="183"/>
      <c r="AA567" s="158"/>
      <c r="AB567" s="158"/>
      <c r="AC567" s="158"/>
    </row>
    <row r="568" spans="1:29" ht="18" customHeight="1" x14ac:dyDescent="0.2">
      <c r="A568" s="163"/>
      <c r="B568" s="527" t="s">
        <v>88</v>
      </c>
      <c r="C568" s="503"/>
      <c r="D568" s="149"/>
      <c r="E568" s="149"/>
      <c r="F568" s="189" t="s">
        <v>105</v>
      </c>
      <c r="G568" s="190">
        <f>IF($J$1="January",U564,IF($J$1="February",U565,IF($J$1="March",U566,IF($J$1="April",U567,IF($J$1="May",U568,IF($J$1="June",U569,IF($J$1="July",U570,IF($J$1="August",U571,IF($J$1="August",U571,IF($J$1="September",U572,IF($J$1="October",U573,IF($J$1="November",U574,IF($J$1="December",U575)))))))))))))</f>
        <v>25000</v>
      </c>
      <c r="H568" s="187"/>
      <c r="I568" s="191">
        <f>IF(C572&gt;=C571,$K$2,C570+C572)</f>
        <v>30</v>
      </c>
      <c r="J568" s="192" t="s">
        <v>106</v>
      </c>
      <c r="K568" s="193">
        <f>K564/$K$2*I568</f>
        <v>40000</v>
      </c>
      <c r="L568" s="194"/>
      <c r="M568" s="158"/>
      <c r="N568" s="175"/>
      <c r="O568" s="176" t="s">
        <v>107</v>
      </c>
      <c r="P568" s="176">
        <v>31</v>
      </c>
      <c r="Q568" s="176">
        <v>0</v>
      </c>
      <c r="R568" s="176">
        <f t="shared" si="161"/>
        <v>22</v>
      </c>
      <c r="S568" s="156"/>
      <c r="T568" s="176" t="s">
        <v>107</v>
      </c>
      <c r="U568" s="182">
        <f t="shared" si="162"/>
        <v>45000</v>
      </c>
      <c r="V568" s="178"/>
      <c r="W568" s="182">
        <f t="shared" si="163"/>
        <v>45000</v>
      </c>
      <c r="X568" s="178">
        <v>5000</v>
      </c>
      <c r="Y568" s="182">
        <f t="shared" si="164"/>
        <v>40000</v>
      </c>
      <c r="Z568" s="183"/>
      <c r="AA568" s="158"/>
      <c r="AB568" s="158"/>
      <c r="AC568" s="158"/>
    </row>
    <row r="569" spans="1:29" ht="18" customHeight="1" x14ac:dyDescent="0.2">
      <c r="A569" s="163"/>
      <c r="B569" s="195"/>
      <c r="C569" s="195"/>
      <c r="D569" s="149"/>
      <c r="E569" s="149"/>
      <c r="F569" s="189" t="s">
        <v>9</v>
      </c>
      <c r="G569" s="190">
        <f>IF($J$1="January",V564,IF($J$1="February",V565,IF($J$1="March",V566,IF($J$1="April",V567,IF($J$1="May",V568,IF($J$1="June",V569,IF($J$1="July",V570,IF($J$1="August",V571,IF($J$1="August",V571,IF($J$1="September",V572,IF($J$1="October",V573,IF($J$1="November",V574,IF($J$1="December",V575)))))))))))))</f>
        <v>0</v>
      </c>
      <c r="H569" s="187"/>
      <c r="I569" s="191">
        <v>124</v>
      </c>
      <c r="J569" s="192" t="s">
        <v>108</v>
      </c>
      <c r="K569" s="190">
        <f>K564/$K$2/8*I569</f>
        <v>20666.666666666664</v>
      </c>
      <c r="L569" s="196"/>
      <c r="M569" s="158"/>
      <c r="N569" s="175"/>
      <c r="O569" s="176" t="s">
        <v>84</v>
      </c>
      <c r="P569" s="176">
        <v>30</v>
      </c>
      <c r="Q569" s="176">
        <v>0</v>
      </c>
      <c r="R569" s="176">
        <f t="shared" si="161"/>
        <v>22</v>
      </c>
      <c r="S569" s="156"/>
      <c r="T569" s="176" t="s">
        <v>84</v>
      </c>
      <c r="U569" s="182">
        <f t="shared" si="162"/>
        <v>40000</v>
      </c>
      <c r="V569" s="178"/>
      <c r="W569" s="182">
        <f t="shared" si="163"/>
        <v>40000</v>
      </c>
      <c r="X569" s="178">
        <v>5000</v>
      </c>
      <c r="Y569" s="182">
        <f t="shared" si="164"/>
        <v>35000</v>
      </c>
      <c r="Z569" s="183"/>
      <c r="AA569" s="158"/>
      <c r="AB569" s="158"/>
      <c r="AC569" s="158"/>
    </row>
    <row r="570" spans="1:29" ht="18" customHeight="1" x14ac:dyDescent="0.2">
      <c r="A570" s="163"/>
      <c r="B570" s="189" t="s">
        <v>92</v>
      </c>
      <c r="C570" s="195">
        <f>IF($J$1="January",P564,IF($J$1="February",P565,IF($J$1="March",P566,IF($J$1="April",P567,IF($J$1="May",P568,IF($J$1="June",P569,IF($J$1="July",P570,IF($J$1="August",P571,IF($J$1="August",P571,IF($J$1="September",P572,IF($J$1="October",P573,IF($J$1="November",P574,IF($J$1="December",P575)))))))))))))</f>
        <v>30</v>
      </c>
      <c r="D570" s="149"/>
      <c r="E570" s="149"/>
      <c r="F570" s="189" t="s">
        <v>109</v>
      </c>
      <c r="G570" s="190">
        <f>IF($J$1="January",W564,IF($J$1="February",W565,IF($J$1="March",W566,IF($J$1="April",W567,IF($J$1="May",W568,IF($J$1="June",W569,IF($J$1="July",W570,IF($J$1="August",W571,IF($J$1="August",W571,IF($J$1="September",W572,IF($J$1="October",W573,IF($J$1="November",W574,IF($J$1="December",W575)))))))))))))</f>
        <v>25000</v>
      </c>
      <c r="H570" s="187"/>
      <c r="I570" s="528" t="s">
        <v>110</v>
      </c>
      <c r="J570" s="503"/>
      <c r="K570" s="190">
        <f>K568+K569</f>
        <v>60666.666666666664</v>
      </c>
      <c r="L570" s="196"/>
      <c r="M570" s="158"/>
      <c r="N570" s="175"/>
      <c r="O570" s="176" t="s">
        <v>111</v>
      </c>
      <c r="P570" s="176">
        <v>31</v>
      </c>
      <c r="Q570" s="176">
        <v>0</v>
      </c>
      <c r="R570" s="176">
        <f t="shared" si="161"/>
        <v>22</v>
      </c>
      <c r="S570" s="156"/>
      <c r="T570" s="176" t="s">
        <v>111</v>
      </c>
      <c r="U570" s="182">
        <f>Y569</f>
        <v>35000</v>
      </c>
      <c r="V570" s="178"/>
      <c r="W570" s="182">
        <f t="shared" si="163"/>
        <v>35000</v>
      </c>
      <c r="X570" s="178">
        <v>5000</v>
      </c>
      <c r="Y570" s="182">
        <f t="shared" si="164"/>
        <v>30000</v>
      </c>
      <c r="Z570" s="183"/>
      <c r="AA570" s="158"/>
      <c r="AB570" s="158"/>
      <c r="AC570" s="158"/>
    </row>
    <row r="571" spans="1:29" ht="18" customHeight="1" x14ac:dyDescent="0.2">
      <c r="A571" s="163"/>
      <c r="B571" s="189" t="s">
        <v>93</v>
      </c>
      <c r="C571" s="195">
        <f>IF($J$1="January",Q564,IF($J$1="February",Q565,IF($J$1="March",Q566,IF($J$1="April",Q567,IF($J$1="May",Q568,IF($J$1="June",Q569,IF($J$1="July",Q570,IF($J$1="August",Q571,IF($J$1="August",Q571,IF($J$1="September",Q572,IF($J$1="October",Q573,IF($J$1="November",Q574,IF($J$1="December",Q575)))))))))))))</f>
        <v>0</v>
      </c>
      <c r="D571" s="149"/>
      <c r="E571" s="149"/>
      <c r="F571" s="189" t="s">
        <v>11</v>
      </c>
      <c r="G571" s="190">
        <f>IF($J$1="January",X564,IF($J$1="February",X565,IF($J$1="March",X566,IF($J$1="April",X567,IF($J$1="May",X568,IF($J$1="June",X569,IF($J$1="July",X570,IF($J$1="August",X571,IF($J$1="August",X571,IF($J$1="September",X572,IF($J$1="October",X573,IF($J$1="November",X574,IF($J$1="December",X575)))))))))))))</f>
        <v>5000</v>
      </c>
      <c r="H571" s="187"/>
      <c r="I571" s="528" t="s">
        <v>112</v>
      </c>
      <c r="J571" s="503"/>
      <c r="K571" s="190">
        <f>G571</f>
        <v>5000</v>
      </c>
      <c r="L571" s="196"/>
      <c r="M571" s="158"/>
      <c r="N571" s="175"/>
      <c r="O571" s="176" t="s">
        <v>113</v>
      </c>
      <c r="P571" s="176">
        <v>31</v>
      </c>
      <c r="Q571" s="176">
        <v>0</v>
      </c>
      <c r="R571" s="176">
        <f t="shared" si="161"/>
        <v>22</v>
      </c>
      <c r="S571" s="156"/>
      <c r="T571" s="176" t="s">
        <v>113</v>
      </c>
      <c r="U571" s="182">
        <f>Y570</f>
        <v>30000</v>
      </c>
      <c r="V571" s="178"/>
      <c r="W571" s="182">
        <f t="shared" si="163"/>
        <v>30000</v>
      </c>
      <c r="X571" s="178">
        <v>5000</v>
      </c>
      <c r="Y571" s="182">
        <f t="shared" si="164"/>
        <v>25000</v>
      </c>
      <c r="Z571" s="183"/>
      <c r="AA571" s="158"/>
      <c r="AB571" s="158"/>
      <c r="AC571" s="158"/>
    </row>
    <row r="572" spans="1:29" ht="18" customHeight="1" x14ac:dyDescent="0.2">
      <c r="A572" s="163"/>
      <c r="B572" s="204" t="s">
        <v>114</v>
      </c>
      <c r="C572" s="195">
        <f>IF($J$1="January",R564,IF($J$1="February",R565,IF($J$1="March",R566,IF($J$1="April",R567,IF($J$1="May",R568,IF($J$1="June",R569,IF($J$1="July",R570,IF($J$1="August",R571,IF($J$1="August",R571,IF($J$1="September",R572,IF($J$1="October",R573,IF($J$1="November",R574,IF($J$1="December",R575)))))))))))))</f>
        <v>22</v>
      </c>
      <c r="D572" s="149"/>
      <c r="E572" s="149"/>
      <c r="F572" s="204" t="s">
        <v>115</v>
      </c>
      <c r="G572" s="190">
        <f>IF($J$1="January",Y564,IF($J$1="February",Y565,IF($J$1="March",Y566,IF($J$1="April",Y567,IF($J$1="May",Y568,IF($J$1="June",Y569,IF($J$1="July",Y570,IF($J$1="August",Y571,IF($J$1="August",Y571,IF($J$1="September",Y572,IF($J$1="October",Y573,IF($J$1="November",Y574,IF($J$1="December",Y575)))))))))))))</f>
        <v>20000</v>
      </c>
      <c r="H572" s="149"/>
      <c r="I572" s="529" t="s">
        <v>13</v>
      </c>
      <c r="J572" s="503"/>
      <c r="K572" s="37">
        <f>K570-K571</f>
        <v>55666.666666666664</v>
      </c>
      <c r="L572" s="180"/>
      <c r="M572" s="158"/>
      <c r="N572" s="175"/>
      <c r="O572" s="176" t="s">
        <v>116</v>
      </c>
      <c r="P572" s="176">
        <v>30</v>
      </c>
      <c r="Q572" s="176">
        <v>0</v>
      </c>
      <c r="R572" s="176">
        <f t="shared" si="161"/>
        <v>22</v>
      </c>
      <c r="S572" s="156"/>
      <c r="T572" s="176" t="s">
        <v>116</v>
      </c>
      <c r="U572" s="182">
        <f>Y571</f>
        <v>25000</v>
      </c>
      <c r="V572" s="178"/>
      <c r="W572" s="182">
        <f t="shared" si="163"/>
        <v>25000</v>
      </c>
      <c r="X572" s="178">
        <v>5000</v>
      </c>
      <c r="Y572" s="182">
        <f t="shared" si="164"/>
        <v>20000</v>
      </c>
      <c r="Z572" s="183"/>
      <c r="AA572" s="158"/>
      <c r="AB572" s="158"/>
      <c r="AC572" s="158"/>
    </row>
    <row r="573" spans="1:29" ht="18" customHeight="1" x14ac:dyDescent="0.2">
      <c r="A573" s="163"/>
      <c r="B573" s="149"/>
      <c r="C573" s="149"/>
      <c r="D573" s="149"/>
      <c r="E573" s="149"/>
      <c r="F573" s="149"/>
      <c r="G573" s="149"/>
      <c r="H573" s="149"/>
      <c r="I573" s="530"/>
      <c r="J573" s="531"/>
      <c r="K573" s="151"/>
      <c r="L573" s="186"/>
      <c r="M573" s="158"/>
      <c r="N573" s="175"/>
      <c r="O573" s="176" t="s">
        <v>117</v>
      </c>
      <c r="P573" s="176"/>
      <c r="Q573" s="176"/>
      <c r="R573" s="176" t="str">
        <f t="shared" si="161"/>
        <v/>
      </c>
      <c r="S573" s="156"/>
      <c r="T573" s="176" t="s">
        <v>117</v>
      </c>
      <c r="U573" s="182"/>
      <c r="V573" s="178"/>
      <c r="W573" s="182" t="str">
        <f t="shared" si="163"/>
        <v/>
      </c>
      <c r="X573" s="178"/>
      <c r="Y573" s="182" t="str">
        <f t="shared" si="164"/>
        <v/>
      </c>
      <c r="Z573" s="183"/>
      <c r="AA573" s="158"/>
      <c r="AB573" s="158"/>
      <c r="AC573" s="158"/>
    </row>
    <row r="574" spans="1:29" ht="18" customHeight="1" x14ac:dyDescent="0.3">
      <c r="A574" s="163"/>
      <c r="B574" s="147"/>
      <c r="C574" s="147"/>
      <c r="D574" s="147"/>
      <c r="E574" s="147"/>
      <c r="F574" s="147"/>
      <c r="G574" s="147"/>
      <c r="H574" s="147"/>
      <c r="I574" s="576"/>
      <c r="J574" s="531"/>
      <c r="K574" s="151"/>
      <c r="L574" s="186"/>
      <c r="M574" s="158"/>
      <c r="N574" s="175"/>
      <c r="O574" s="176" t="s">
        <v>118</v>
      </c>
      <c r="P574" s="176"/>
      <c r="Q574" s="176"/>
      <c r="R574" s="176" t="str">
        <f t="shared" si="161"/>
        <v/>
      </c>
      <c r="S574" s="156"/>
      <c r="T574" s="176" t="s">
        <v>118</v>
      </c>
      <c r="U574" s="182"/>
      <c r="V574" s="178"/>
      <c r="W574" s="182" t="str">
        <f t="shared" si="163"/>
        <v/>
      </c>
      <c r="X574" s="178"/>
      <c r="Y574" s="182" t="str">
        <f t="shared" si="164"/>
        <v/>
      </c>
      <c r="Z574" s="183"/>
      <c r="AA574" s="158"/>
      <c r="AB574" s="158"/>
      <c r="AC574" s="158"/>
    </row>
    <row r="575" spans="1:29" ht="18" customHeight="1" thickBot="1" x14ac:dyDescent="0.35">
      <c r="A575" s="197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9"/>
      <c r="M575" s="158"/>
      <c r="N575" s="175"/>
      <c r="O575" s="176" t="s">
        <v>119</v>
      </c>
      <c r="P575" s="176"/>
      <c r="Q575" s="176"/>
      <c r="R575" s="176" t="str">
        <f t="shared" si="161"/>
        <v/>
      </c>
      <c r="S575" s="156"/>
      <c r="T575" s="176" t="s">
        <v>119</v>
      </c>
      <c r="U575" s="182"/>
      <c r="V575" s="178"/>
      <c r="W575" s="182" t="str">
        <f t="shared" si="163"/>
        <v/>
      </c>
      <c r="X575" s="178"/>
      <c r="Y575" s="182" t="str">
        <f t="shared" si="164"/>
        <v/>
      </c>
      <c r="Z575" s="183"/>
      <c r="AA575" s="158"/>
      <c r="AB575" s="158"/>
      <c r="AC575" s="158"/>
    </row>
    <row r="576" spans="1:29" ht="18" customHeight="1" thickBot="1" x14ac:dyDescent="0.25">
      <c r="A576" s="200"/>
      <c r="B576" s="200"/>
      <c r="C576" s="200"/>
      <c r="D576" s="200"/>
      <c r="E576" s="200"/>
      <c r="F576" s="200"/>
      <c r="G576" s="200"/>
      <c r="H576" s="200"/>
      <c r="I576" s="200"/>
      <c r="J576" s="200"/>
      <c r="K576" s="200"/>
      <c r="L576" s="200"/>
      <c r="M576" s="201"/>
      <c r="N576" s="202"/>
      <c r="O576" s="202"/>
      <c r="P576" s="202"/>
      <c r="Q576" s="202"/>
      <c r="R576" s="202"/>
      <c r="S576" s="202"/>
      <c r="T576" s="202"/>
      <c r="U576" s="202"/>
      <c r="V576" s="202"/>
      <c r="W576" s="202"/>
      <c r="X576" s="202"/>
      <c r="Y576" s="202"/>
      <c r="Z576" s="202"/>
      <c r="AA576" s="201"/>
      <c r="AB576" s="201"/>
      <c r="AC576" s="201"/>
    </row>
    <row r="577" spans="1:29" ht="18" customHeight="1" x14ac:dyDescent="0.2">
      <c r="A577" s="573" t="s">
        <v>87</v>
      </c>
      <c r="B577" s="538"/>
      <c r="C577" s="538"/>
      <c r="D577" s="538"/>
      <c r="E577" s="538"/>
      <c r="F577" s="538"/>
      <c r="G577" s="538"/>
      <c r="H577" s="538"/>
      <c r="I577" s="538"/>
      <c r="J577" s="538"/>
      <c r="K577" s="538"/>
      <c r="L577" s="539"/>
      <c r="M577" s="159"/>
      <c r="N577" s="160"/>
      <c r="O577" s="524" t="s">
        <v>88</v>
      </c>
      <c r="P577" s="525"/>
      <c r="Q577" s="525"/>
      <c r="R577" s="526"/>
      <c r="S577" s="161"/>
      <c r="T577" s="524" t="s">
        <v>89</v>
      </c>
      <c r="U577" s="525"/>
      <c r="V577" s="525"/>
      <c r="W577" s="525"/>
      <c r="X577" s="525"/>
      <c r="Y577" s="526"/>
      <c r="Z577" s="162"/>
      <c r="AA577" s="159"/>
      <c r="AB577" s="158"/>
      <c r="AC577" s="158"/>
    </row>
    <row r="578" spans="1:29" ht="18" customHeight="1" x14ac:dyDescent="0.2">
      <c r="A578" s="163"/>
      <c r="B578" s="149"/>
      <c r="C578" s="535" t="s">
        <v>190</v>
      </c>
      <c r="D578" s="531"/>
      <c r="E578" s="531"/>
      <c r="F578" s="531"/>
      <c r="G578" s="164" t="str">
        <f>$J$1</f>
        <v>September</v>
      </c>
      <c r="H578" s="536">
        <f>$K$1</f>
        <v>2024</v>
      </c>
      <c r="I578" s="531"/>
      <c r="J578" s="149"/>
      <c r="K578" s="165"/>
      <c r="L578" s="166"/>
      <c r="M578" s="167"/>
      <c r="N578" s="168"/>
      <c r="O578" s="169" t="s">
        <v>91</v>
      </c>
      <c r="P578" s="169" t="s">
        <v>92</v>
      </c>
      <c r="Q578" s="169" t="s">
        <v>93</v>
      </c>
      <c r="R578" s="169" t="s">
        <v>94</v>
      </c>
      <c r="S578" s="170"/>
      <c r="T578" s="169" t="s">
        <v>91</v>
      </c>
      <c r="U578" s="169" t="s">
        <v>95</v>
      </c>
      <c r="V578" s="169" t="s">
        <v>9</v>
      </c>
      <c r="W578" s="169" t="s">
        <v>10</v>
      </c>
      <c r="X578" s="169" t="s">
        <v>11</v>
      </c>
      <c r="Y578" s="169" t="s">
        <v>96</v>
      </c>
      <c r="Z578" s="171"/>
      <c r="AA578" s="167"/>
      <c r="AB578" s="158"/>
      <c r="AC578" s="158"/>
    </row>
    <row r="579" spans="1:29" ht="18" customHeight="1" x14ac:dyDescent="0.2">
      <c r="A579" s="163"/>
      <c r="B579" s="149"/>
      <c r="C579" s="149"/>
      <c r="D579" s="172"/>
      <c r="E579" s="172"/>
      <c r="F579" s="172"/>
      <c r="G579" s="172"/>
      <c r="H579" s="172"/>
      <c r="I579" s="149"/>
      <c r="J579" s="173" t="s">
        <v>97</v>
      </c>
      <c r="K579" s="151">
        <f>40000+10000+5000</f>
        <v>55000</v>
      </c>
      <c r="L579" s="174"/>
      <c r="M579" s="158"/>
      <c r="N579" s="175"/>
      <c r="O579" s="176" t="s">
        <v>98</v>
      </c>
      <c r="P579" s="176">
        <v>28</v>
      </c>
      <c r="Q579" s="176">
        <v>3</v>
      </c>
      <c r="R579" s="176">
        <v>0</v>
      </c>
      <c r="S579" s="177"/>
      <c r="T579" s="176" t="s">
        <v>98</v>
      </c>
      <c r="U579" s="178"/>
      <c r="V579" s="178"/>
      <c r="W579" s="178">
        <f>V579+U579</f>
        <v>0</v>
      </c>
      <c r="X579" s="178"/>
      <c r="Y579" s="178">
        <f>W579-X579</f>
        <v>0</v>
      </c>
      <c r="Z579" s="171"/>
      <c r="AA579" s="158"/>
      <c r="AB579" s="158"/>
      <c r="AC579" s="158"/>
    </row>
    <row r="580" spans="1:29" ht="18" customHeight="1" x14ac:dyDescent="0.2">
      <c r="A580" s="163"/>
      <c r="B580" s="149" t="s">
        <v>99</v>
      </c>
      <c r="C580" s="148" t="s">
        <v>191</v>
      </c>
      <c r="D580" s="149"/>
      <c r="E580" s="149"/>
      <c r="F580" s="149"/>
      <c r="G580" s="149"/>
      <c r="H580" s="179"/>
      <c r="I580" s="172"/>
      <c r="J580" s="149"/>
      <c r="K580" s="149"/>
      <c r="L580" s="180"/>
      <c r="M580" s="159"/>
      <c r="N580" s="181"/>
      <c r="O580" s="176" t="s">
        <v>100</v>
      </c>
      <c r="P580" s="176">
        <v>28</v>
      </c>
      <c r="Q580" s="176">
        <v>2</v>
      </c>
      <c r="R580" s="176">
        <v>0</v>
      </c>
      <c r="S580" s="156"/>
      <c r="T580" s="176" t="s">
        <v>100</v>
      </c>
      <c r="U580" s="182">
        <f>IF($J$1="January","",Y579)</f>
        <v>0</v>
      </c>
      <c r="V580" s="178">
        <v>4000</v>
      </c>
      <c r="W580" s="182">
        <f t="shared" ref="W580:W590" si="165">IF(U580="","",U580+V580)</f>
        <v>4000</v>
      </c>
      <c r="X580" s="178">
        <v>2000</v>
      </c>
      <c r="Y580" s="182">
        <f t="shared" ref="Y580:Y590" si="166">IF(W580="","",W580-X580)</f>
        <v>2000</v>
      </c>
      <c r="Z580" s="183"/>
      <c r="AA580" s="159"/>
      <c r="AB580" s="158"/>
      <c r="AC580" s="158"/>
    </row>
    <row r="581" spans="1:29" ht="18" customHeight="1" x14ac:dyDescent="0.2">
      <c r="A581" s="163"/>
      <c r="B581" s="184" t="s">
        <v>101</v>
      </c>
      <c r="C581" s="217"/>
      <c r="D581" s="149"/>
      <c r="E581" s="149"/>
      <c r="F581" s="529" t="s">
        <v>89</v>
      </c>
      <c r="G581" s="503"/>
      <c r="H581" s="149"/>
      <c r="I581" s="529" t="s">
        <v>102</v>
      </c>
      <c r="J581" s="502"/>
      <c r="K581" s="503"/>
      <c r="L581" s="186"/>
      <c r="M581" s="158"/>
      <c r="N581" s="175"/>
      <c r="O581" s="176" t="s">
        <v>103</v>
      </c>
      <c r="P581" s="176">
        <v>28</v>
      </c>
      <c r="Q581" s="176">
        <v>3</v>
      </c>
      <c r="R581" s="176">
        <v>0</v>
      </c>
      <c r="S581" s="156"/>
      <c r="T581" s="176" t="s">
        <v>103</v>
      </c>
      <c r="U581" s="182">
        <f>IF($J$1="February","",Y580)</f>
        <v>2000</v>
      </c>
      <c r="V581" s="178">
        <v>15000</v>
      </c>
      <c r="W581" s="182">
        <f t="shared" si="165"/>
        <v>17000</v>
      </c>
      <c r="X581" s="178">
        <v>5000</v>
      </c>
      <c r="Y581" s="182">
        <f t="shared" si="166"/>
        <v>12000</v>
      </c>
      <c r="Z581" s="183"/>
      <c r="AA581" s="158"/>
      <c r="AB581" s="158"/>
      <c r="AC581" s="158"/>
    </row>
    <row r="582" spans="1:29" ht="18" customHeight="1" x14ac:dyDescent="0.2">
      <c r="A582" s="163"/>
      <c r="B582" s="149"/>
      <c r="C582" s="149"/>
      <c r="D582" s="149"/>
      <c r="E582" s="149"/>
      <c r="F582" s="149"/>
      <c r="G582" s="149"/>
      <c r="H582" s="187"/>
      <c r="I582" s="149"/>
      <c r="J582" s="149"/>
      <c r="K582" s="149"/>
      <c r="L582" s="188"/>
      <c r="M582" s="158"/>
      <c r="N582" s="175"/>
      <c r="O582" s="176" t="s">
        <v>104</v>
      </c>
      <c r="P582" s="176">
        <v>30</v>
      </c>
      <c r="Q582" s="176">
        <v>0</v>
      </c>
      <c r="R582" s="176">
        <v>0</v>
      </c>
      <c r="S582" s="156"/>
      <c r="T582" s="176" t="s">
        <v>104</v>
      </c>
      <c r="U582" s="182">
        <f>IF($J$1="March","",Y581)</f>
        <v>12000</v>
      </c>
      <c r="V582" s="178"/>
      <c r="W582" s="182">
        <f t="shared" si="165"/>
        <v>12000</v>
      </c>
      <c r="X582" s="178">
        <v>5000</v>
      </c>
      <c r="Y582" s="182">
        <f t="shared" si="166"/>
        <v>7000</v>
      </c>
      <c r="Z582" s="183"/>
      <c r="AA582" s="158"/>
      <c r="AB582" s="158"/>
      <c r="AC582" s="158"/>
    </row>
    <row r="583" spans="1:29" ht="18" customHeight="1" x14ac:dyDescent="0.2">
      <c r="A583" s="163"/>
      <c r="B583" s="527" t="s">
        <v>88</v>
      </c>
      <c r="C583" s="503"/>
      <c r="D583" s="149"/>
      <c r="E583" s="149"/>
      <c r="F583" s="189" t="s">
        <v>105</v>
      </c>
      <c r="G583" s="190">
        <f>IF($J$1="January",U579,IF($J$1="February",U580,IF($J$1="March",U581,IF($J$1="April",U582,IF($J$1="May",U583,IF($J$1="June",U584,IF($J$1="July",U585,IF($J$1="August",U586,IF($J$1="August",U586,IF($J$1="September",U587,IF($J$1="October",U588,IF($J$1="November",U589,IF($J$1="December",U590)))))))))))))</f>
        <v>22000</v>
      </c>
      <c r="H583" s="187"/>
      <c r="I583" s="191">
        <v>27</v>
      </c>
      <c r="J583" s="192" t="s">
        <v>106</v>
      </c>
      <c r="K583" s="193">
        <f>K579/$K$2*I583</f>
        <v>49500</v>
      </c>
      <c r="L583" s="194"/>
      <c r="M583" s="158"/>
      <c r="N583" s="175"/>
      <c r="O583" s="176" t="s">
        <v>107</v>
      </c>
      <c r="P583" s="176">
        <v>25</v>
      </c>
      <c r="Q583" s="176">
        <v>6</v>
      </c>
      <c r="R583" s="176">
        <v>0</v>
      </c>
      <c r="S583" s="156"/>
      <c r="T583" s="176" t="s">
        <v>107</v>
      </c>
      <c r="U583" s="182">
        <f>IF($J$1="April","",Y582)</f>
        <v>7000</v>
      </c>
      <c r="V583" s="178"/>
      <c r="W583" s="182">
        <f t="shared" si="165"/>
        <v>7000</v>
      </c>
      <c r="X583" s="178">
        <v>5000</v>
      </c>
      <c r="Y583" s="182">
        <f t="shared" si="166"/>
        <v>2000</v>
      </c>
      <c r="Z583" s="183"/>
      <c r="AA583" s="158"/>
      <c r="AB583" s="158"/>
      <c r="AC583" s="158"/>
    </row>
    <row r="584" spans="1:29" ht="18" customHeight="1" x14ac:dyDescent="0.2">
      <c r="A584" s="163"/>
      <c r="B584" s="195"/>
      <c r="C584" s="195"/>
      <c r="D584" s="149"/>
      <c r="E584" s="149"/>
      <c r="F584" s="189" t="s">
        <v>9</v>
      </c>
      <c r="G584" s="190">
        <f>IF($J$1="January",V579,IF($J$1="February",V580,IF($J$1="March",V581,IF($J$1="April",V582,IF($J$1="May",V583,IF($J$1="June",V584,IF($J$1="July",V585,IF($J$1="August",V586,IF($J$1="August",V586,IF($J$1="September",V587,IF($J$1="October",V588,IF($J$1="November",V589,IF($J$1="December",V590)))))))))))))</f>
        <v>6500</v>
      </c>
      <c r="H584" s="187"/>
      <c r="I584" s="211">
        <v>29</v>
      </c>
      <c r="J584" s="192" t="s">
        <v>108</v>
      </c>
      <c r="K584" s="254">
        <f>K579/$K$2/8*I584</f>
        <v>6645.833333333333</v>
      </c>
      <c r="L584" s="196"/>
      <c r="M584" s="158"/>
      <c r="N584" s="175"/>
      <c r="O584" s="176" t="s">
        <v>84</v>
      </c>
      <c r="P584" s="176">
        <v>27</v>
      </c>
      <c r="Q584" s="176">
        <v>3</v>
      </c>
      <c r="R584" s="176">
        <v>0</v>
      </c>
      <c r="S584" s="156"/>
      <c r="T584" s="176" t="s">
        <v>84</v>
      </c>
      <c r="U584" s="182">
        <f>IF($J$1="May","",Y583)</f>
        <v>2000</v>
      </c>
      <c r="V584" s="178">
        <v>30000</v>
      </c>
      <c r="W584" s="182">
        <f t="shared" si="165"/>
        <v>32000</v>
      </c>
      <c r="X584" s="178">
        <v>5000</v>
      </c>
      <c r="Y584" s="182">
        <f t="shared" si="166"/>
        <v>27000</v>
      </c>
      <c r="Z584" s="183"/>
      <c r="AA584" s="158"/>
      <c r="AB584" s="158"/>
      <c r="AC584" s="158"/>
    </row>
    <row r="585" spans="1:29" ht="18" customHeight="1" x14ac:dyDescent="0.2">
      <c r="A585" s="163"/>
      <c r="B585" s="189" t="s">
        <v>92</v>
      </c>
      <c r="C585" s="195">
        <f>IF($J$1="January",P579,IF($J$1="February",P580,IF($J$1="March",P581,IF($J$1="April",P582,IF($J$1="May",P583,IF($J$1="June",P584,IF($J$1="July",P585,IF($J$1="August",P586,IF($J$1="August",P586,IF($J$1="September",P587,IF($J$1="October",P588,IF($J$1="November",P589,IF($J$1="December",P590)))))))))))))</f>
        <v>28</v>
      </c>
      <c r="D585" s="149"/>
      <c r="E585" s="149"/>
      <c r="F585" s="189" t="s">
        <v>109</v>
      </c>
      <c r="G585" s="190">
        <f>IF($J$1="January",W579,IF($J$1="February",W580,IF($J$1="March",W581,IF($J$1="April",W582,IF($J$1="May",W583,IF($J$1="June",W584,IF($J$1="July",W585,IF($J$1="August",W586,IF($J$1="August",W586,IF($J$1="September",W587,IF($J$1="October",W588,IF($J$1="November",W589,IF($J$1="December",W590)))))))))))))</f>
        <v>28500</v>
      </c>
      <c r="H585" s="187"/>
      <c r="I585" s="528" t="s">
        <v>110</v>
      </c>
      <c r="J585" s="503"/>
      <c r="K585" s="190">
        <f>K583+K584</f>
        <v>56145.833333333336</v>
      </c>
      <c r="L585" s="196"/>
      <c r="M585" s="158"/>
      <c r="N585" s="175"/>
      <c r="O585" s="176" t="s">
        <v>111</v>
      </c>
      <c r="P585" s="176">
        <v>25</v>
      </c>
      <c r="Q585" s="176">
        <v>6</v>
      </c>
      <c r="R585" s="176">
        <v>0</v>
      </c>
      <c r="S585" s="156"/>
      <c r="T585" s="176" t="s">
        <v>111</v>
      </c>
      <c r="U585" s="182">
        <f>IF($J$1="June","",Y584)</f>
        <v>27000</v>
      </c>
      <c r="V585" s="178"/>
      <c r="W585" s="182">
        <f t="shared" si="165"/>
        <v>27000</v>
      </c>
      <c r="X585" s="178">
        <v>5000</v>
      </c>
      <c r="Y585" s="182">
        <f t="shared" si="166"/>
        <v>22000</v>
      </c>
      <c r="Z585" s="183"/>
      <c r="AA585" s="158"/>
      <c r="AB585" s="158"/>
      <c r="AC585" s="158"/>
    </row>
    <row r="586" spans="1:29" ht="18" customHeight="1" x14ac:dyDescent="0.2">
      <c r="A586" s="163"/>
      <c r="B586" s="189" t="s">
        <v>93</v>
      </c>
      <c r="C586" s="195">
        <f>IF($J$1="January",Q579,IF($J$1="February",Q580,IF($J$1="March",Q581,IF($J$1="April",Q582,IF($J$1="May",Q583,IF($J$1="June",Q584,IF($J$1="July",Q585,IF($J$1="August",Q586,IF($J$1="August",Q586,IF($J$1="September",Q587,IF($J$1="October",Q588,IF($J$1="November",Q589,IF($J$1="December",Q590)))))))))))))</f>
        <v>2</v>
      </c>
      <c r="D586" s="149"/>
      <c r="E586" s="149"/>
      <c r="F586" s="189" t="s">
        <v>11</v>
      </c>
      <c r="G586" s="190">
        <f>IF($J$1="January",X579,IF($J$1="February",X580,IF($J$1="March",X581,IF($J$1="April",X582,IF($J$1="May",X583,IF($J$1="June",X584,IF($J$1="July",X585,IF($J$1="August",X586,IF($J$1="August",X586,IF($J$1="September",X587,IF($J$1="October",X588,IF($J$1="November",X589,IF($J$1="December",X590)))))))))))))</f>
        <v>5000</v>
      </c>
      <c r="H586" s="187"/>
      <c r="I586" s="528" t="s">
        <v>112</v>
      </c>
      <c r="J586" s="503"/>
      <c r="K586" s="190">
        <f>G586</f>
        <v>5000</v>
      </c>
      <c r="L586" s="196"/>
      <c r="M586" s="158"/>
      <c r="N586" s="175"/>
      <c r="O586" s="176" t="s">
        <v>113</v>
      </c>
      <c r="P586" s="176">
        <v>25</v>
      </c>
      <c r="Q586" s="176">
        <v>4</v>
      </c>
      <c r="R586" s="176">
        <v>0</v>
      </c>
      <c r="S586" s="156"/>
      <c r="T586" s="176" t="s">
        <v>113</v>
      </c>
      <c r="U586" s="182">
        <f>Y585</f>
        <v>22000</v>
      </c>
      <c r="V586" s="178"/>
      <c r="W586" s="182">
        <f t="shared" si="165"/>
        <v>22000</v>
      </c>
      <c r="X586" s="178"/>
      <c r="Y586" s="182">
        <f t="shared" si="166"/>
        <v>22000</v>
      </c>
      <c r="Z586" s="183"/>
      <c r="AA586" s="158"/>
      <c r="AB586" s="158"/>
      <c r="AC586" s="158"/>
    </row>
    <row r="587" spans="1:29" ht="18" customHeight="1" x14ac:dyDescent="0.2">
      <c r="A587" s="163"/>
      <c r="B587" s="212" t="s">
        <v>114</v>
      </c>
      <c r="C587" s="195">
        <f>IF($J$1="January",R579,IF($J$1="February",R580,IF($J$1="March",R581,IF($J$1="April",R582,IF($J$1="May",R583,IF($J$1="June",R584,IF($J$1="July",R585,IF($J$1="August",R586,IF($J$1="August",R586,IF($J$1="September",R587,IF($J$1="October",R588,IF($J$1="November",R589,IF($J$1="December",R590)))))))))))))</f>
        <v>0</v>
      </c>
      <c r="D587" s="149"/>
      <c r="E587" s="149"/>
      <c r="F587" s="189" t="s">
        <v>167</v>
      </c>
      <c r="G587" s="190">
        <f>IF($J$1="January",Y579,IF($J$1="February",Y580,IF($J$1="March",Y581,IF($J$1="April",Y582,IF($J$1="May",Y583,IF($J$1="June",Y584,IF($J$1="July",Y585,IF($J$1="August",Y586,IF($J$1="August",Y586,IF($J$1="September",Y587,IF($J$1="October",Y588,IF($J$1="November",Y589,IF($J$1="December",Y590)))))))))))))</f>
        <v>23500</v>
      </c>
      <c r="H587" s="149"/>
      <c r="I587" s="529" t="s">
        <v>13</v>
      </c>
      <c r="J587" s="503"/>
      <c r="K587" s="37">
        <f>K585-K586</f>
        <v>51145.833333333336</v>
      </c>
      <c r="L587" s="180"/>
      <c r="M587" s="158"/>
      <c r="N587" s="175"/>
      <c r="O587" s="176" t="s">
        <v>116</v>
      </c>
      <c r="P587" s="176">
        <v>28</v>
      </c>
      <c r="Q587" s="176">
        <v>2</v>
      </c>
      <c r="R587" s="176">
        <v>0</v>
      </c>
      <c r="S587" s="156"/>
      <c r="T587" s="176" t="s">
        <v>116</v>
      </c>
      <c r="U587" s="182">
        <f>Y586</f>
        <v>22000</v>
      </c>
      <c r="V587" s="178">
        <f>5000+1500</f>
        <v>6500</v>
      </c>
      <c r="W587" s="182">
        <f t="shared" si="165"/>
        <v>28500</v>
      </c>
      <c r="X587" s="178">
        <v>5000</v>
      </c>
      <c r="Y587" s="182">
        <f t="shared" si="166"/>
        <v>23500</v>
      </c>
      <c r="Z587" s="183"/>
      <c r="AA587" s="158"/>
      <c r="AB587" s="158"/>
      <c r="AC587" s="158"/>
    </row>
    <row r="588" spans="1:29" ht="18" customHeight="1" x14ac:dyDescent="0.2">
      <c r="A588" s="163"/>
      <c r="B588" s="149"/>
      <c r="C588" s="149"/>
      <c r="D588" s="149"/>
      <c r="E588" s="149"/>
      <c r="F588" s="149"/>
      <c r="G588" s="149"/>
      <c r="H588" s="149"/>
      <c r="I588" s="530"/>
      <c r="J588" s="531"/>
      <c r="K588" s="151"/>
      <c r="L588" s="186"/>
      <c r="M588" s="158"/>
      <c r="N588" s="175"/>
      <c r="O588" s="176" t="s">
        <v>117</v>
      </c>
      <c r="P588" s="176"/>
      <c r="Q588" s="176"/>
      <c r="R588" s="176">
        <v>0</v>
      </c>
      <c r="S588" s="156"/>
      <c r="T588" s="176" t="s">
        <v>117</v>
      </c>
      <c r="U588" s="182"/>
      <c r="V588" s="178"/>
      <c r="W588" s="182" t="str">
        <f t="shared" si="165"/>
        <v/>
      </c>
      <c r="X588" s="178"/>
      <c r="Y588" s="182" t="str">
        <f t="shared" si="166"/>
        <v/>
      </c>
      <c r="Z588" s="183"/>
      <c r="AA588" s="158"/>
      <c r="AB588" s="158"/>
      <c r="AC588" s="158"/>
    </row>
    <row r="589" spans="1:29" ht="18" customHeight="1" x14ac:dyDescent="0.3">
      <c r="A589" s="163"/>
      <c r="B589" s="147"/>
      <c r="C589" s="147"/>
      <c r="D589" s="147"/>
      <c r="E589" s="147"/>
      <c r="F589" s="147"/>
      <c r="G589" s="147"/>
      <c r="H589" s="147"/>
      <c r="I589" s="530"/>
      <c r="J589" s="531"/>
      <c r="K589" s="151"/>
      <c r="L589" s="186"/>
      <c r="M589" s="158"/>
      <c r="N589" s="175"/>
      <c r="O589" s="176" t="s">
        <v>118</v>
      </c>
      <c r="P589" s="205"/>
      <c r="Q589" s="205"/>
      <c r="R589" s="176">
        <v>0</v>
      </c>
      <c r="S589" s="156"/>
      <c r="T589" s="176" t="s">
        <v>118</v>
      </c>
      <c r="U589" s="182"/>
      <c r="V589" s="178"/>
      <c r="W589" s="182" t="str">
        <f t="shared" si="165"/>
        <v/>
      </c>
      <c r="X589" s="178"/>
      <c r="Y589" s="182" t="str">
        <f t="shared" si="166"/>
        <v/>
      </c>
      <c r="Z589" s="183"/>
      <c r="AA589" s="158"/>
      <c r="AB589" s="158"/>
      <c r="AC589" s="158"/>
    </row>
    <row r="590" spans="1:29" ht="18" customHeight="1" x14ac:dyDescent="0.3">
      <c r="A590" s="163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86"/>
      <c r="M590" s="158"/>
      <c r="N590" s="175"/>
      <c r="O590" s="176" t="s">
        <v>119</v>
      </c>
      <c r="P590" s="176"/>
      <c r="Q590" s="176"/>
      <c r="R590" s="176">
        <v>0</v>
      </c>
      <c r="S590" s="156"/>
      <c r="T590" s="176" t="s">
        <v>119</v>
      </c>
      <c r="U590" s="182"/>
      <c r="V590" s="178"/>
      <c r="W590" s="182" t="str">
        <f t="shared" si="165"/>
        <v/>
      </c>
      <c r="X590" s="178"/>
      <c r="Y590" s="182" t="str">
        <f t="shared" si="166"/>
        <v/>
      </c>
      <c r="Z590" s="183"/>
      <c r="AA590" s="158"/>
      <c r="AB590" s="158"/>
      <c r="AC590" s="158"/>
    </row>
    <row r="591" spans="1:29" ht="18" customHeight="1" thickBot="1" x14ac:dyDescent="0.25">
      <c r="A591" s="197"/>
      <c r="B591" s="213"/>
      <c r="C591" s="213"/>
      <c r="D591" s="213"/>
      <c r="E591" s="213"/>
      <c r="F591" s="213"/>
      <c r="G591" s="213"/>
      <c r="H591" s="213"/>
      <c r="I591" s="213"/>
      <c r="J591" s="213"/>
      <c r="K591" s="213"/>
      <c r="L591" s="199"/>
      <c r="M591" s="158"/>
      <c r="N591" s="214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8"/>
      <c r="AA591" s="158"/>
      <c r="AB591" s="158"/>
      <c r="AC591" s="158"/>
    </row>
    <row r="592" spans="1:29" ht="18" customHeight="1" thickBot="1" x14ac:dyDescent="0.25">
      <c r="A592" s="197"/>
      <c r="B592" s="213"/>
      <c r="C592" s="213"/>
      <c r="D592" s="213"/>
      <c r="E592" s="213"/>
      <c r="F592" s="213"/>
      <c r="G592" s="213"/>
      <c r="H592" s="213"/>
      <c r="I592" s="213"/>
      <c r="J592" s="213"/>
      <c r="K592" s="213"/>
      <c r="L592" s="199"/>
      <c r="M592" s="158"/>
      <c r="N592" s="175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219"/>
      <c r="AA592" s="158"/>
      <c r="AB592" s="158"/>
      <c r="AC592" s="158"/>
    </row>
    <row r="593" spans="1:29" ht="18" customHeight="1" thickBot="1" x14ac:dyDescent="0.25">
      <c r="A593" s="532" t="s">
        <v>87</v>
      </c>
      <c r="B593" s="533"/>
      <c r="C593" s="533"/>
      <c r="D593" s="533"/>
      <c r="E593" s="533"/>
      <c r="F593" s="533"/>
      <c r="G593" s="533"/>
      <c r="H593" s="533"/>
      <c r="I593" s="533"/>
      <c r="J593" s="533"/>
      <c r="K593" s="533"/>
      <c r="L593" s="534"/>
      <c r="M593" s="159"/>
      <c r="N593" s="160"/>
      <c r="O593" s="524" t="s">
        <v>88</v>
      </c>
      <c r="P593" s="525"/>
      <c r="Q593" s="525"/>
      <c r="R593" s="526"/>
      <c r="S593" s="161"/>
      <c r="T593" s="524" t="s">
        <v>89</v>
      </c>
      <c r="U593" s="525"/>
      <c r="V593" s="525"/>
      <c r="W593" s="525"/>
      <c r="X593" s="525"/>
      <c r="Y593" s="526"/>
      <c r="Z593" s="162"/>
      <c r="AA593" s="159"/>
      <c r="AB593" s="158"/>
      <c r="AC593" s="158"/>
    </row>
    <row r="594" spans="1:29" ht="18" customHeight="1" x14ac:dyDescent="0.2">
      <c r="A594" s="163"/>
      <c r="B594" s="149"/>
      <c r="C594" s="535" t="s">
        <v>192</v>
      </c>
      <c r="D594" s="531"/>
      <c r="E594" s="531"/>
      <c r="F594" s="531"/>
      <c r="G594" s="164" t="str">
        <f>$J$1</f>
        <v>September</v>
      </c>
      <c r="H594" s="536">
        <f>$K$1</f>
        <v>2024</v>
      </c>
      <c r="I594" s="531"/>
      <c r="J594" s="149"/>
      <c r="K594" s="165"/>
      <c r="L594" s="166"/>
      <c r="M594" s="167"/>
      <c r="N594" s="168"/>
      <c r="O594" s="169" t="s">
        <v>91</v>
      </c>
      <c r="P594" s="169" t="s">
        <v>92</v>
      </c>
      <c r="Q594" s="169" t="s">
        <v>93</v>
      </c>
      <c r="R594" s="169" t="s">
        <v>94</v>
      </c>
      <c r="S594" s="170"/>
      <c r="T594" s="169" t="s">
        <v>91</v>
      </c>
      <c r="U594" s="169" t="s">
        <v>95</v>
      </c>
      <c r="V594" s="169" t="s">
        <v>9</v>
      </c>
      <c r="W594" s="169" t="s">
        <v>10</v>
      </c>
      <c r="X594" s="169" t="s">
        <v>11</v>
      </c>
      <c r="Y594" s="169" t="s">
        <v>96</v>
      </c>
      <c r="Z594" s="171"/>
      <c r="AA594" s="167"/>
      <c r="AB594" s="158"/>
      <c r="AC594" s="158"/>
    </row>
    <row r="595" spans="1:29" ht="18" customHeight="1" x14ac:dyDescent="0.2">
      <c r="A595" s="163"/>
      <c r="B595" s="149"/>
      <c r="C595" s="149"/>
      <c r="D595" s="172"/>
      <c r="E595" s="172"/>
      <c r="F595" s="172"/>
      <c r="G595" s="172"/>
      <c r="H595" s="172"/>
      <c r="I595" s="149"/>
      <c r="J595" s="173" t="s">
        <v>97</v>
      </c>
      <c r="K595" s="151">
        <f>32000+3000</f>
        <v>35000</v>
      </c>
      <c r="L595" s="174"/>
      <c r="M595" s="158"/>
      <c r="N595" s="175"/>
      <c r="O595" s="176" t="s">
        <v>98</v>
      </c>
      <c r="P595" s="176"/>
      <c r="Q595" s="176"/>
      <c r="R595" s="176"/>
      <c r="S595" s="177"/>
      <c r="T595" s="176" t="s">
        <v>98</v>
      </c>
      <c r="U595" s="178"/>
      <c r="V595" s="178"/>
      <c r="W595" s="178">
        <f>V595+U595</f>
        <v>0</v>
      </c>
      <c r="X595" s="178"/>
      <c r="Y595" s="178">
        <f>W595-X595</f>
        <v>0</v>
      </c>
      <c r="Z595" s="171"/>
      <c r="AA595" s="158"/>
      <c r="AB595" s="158"/>
      <c r="AC595" s="158"/>
    </row>
    <row r="596" spans="1:29" ht="18" customHeight="1" x14ac:dyDescent="0.2">
      <c r="A596" s="163"/>
      <c r="B596" s="149" t="s">
        <v>99</v>
      </c>
      <c r="C596" s="148" t="s">
        <v>193</v>
      </c>
      <c r="D596" s="149"/>
      <c r="E596" s="149"/>
      <c r="F596" s="149"/>
      <c r="G596" s="149"/>
      <c r="H596" s="179"/>
      <c r="I596" s="172"/>
      <c r="J596" s="149"/>
      <c r="K596" s="149"/>
      <c r="L596" s="180"/>
      <c r="M596" s="159"/>
      <c r="N596" s="181"/>
      <c r="O596" s="176" t="s">
        <v>100</v>
      </c>
      <c r="P596" s="176">
        <v>26</v>
      </c>
      <c r="Q596" s="176">
        <v>2</v>
      </c>
      <c r="R596" s="176">
        <v>0</v>
      </c>
      <c r="S596" s="156"/>
      <c r="T596" s="176" t="s">
        <v>100</v>
      </c>
      <c r="U596" s="182">
        <f>Y595</f>
        <v>0</v>
      </c>
      <c r="V596" s="178"/>
      <c r="W596" s="182">
        <f t="shared" ref="W596:W606" si="167">IF(U596="","",U596+V596)</f>
        <v>0</v>
      </c>
      <c r="X596" s="178"/>
      <c r="Y596" s="182">
        <f t="shared" ref="Y596:Y606" si="168">IF(W596="","",W596-X596)</f>
        <v>0</v>
      </c>
      <c r="Z596" s="183"/>
      <c r="AA596" s="159"/>
      <c r="AB596" s="158"/>
      <c r="AC596" s="158"/>
    </row>
    <row r="597" spans="1:29" ht="18" customHeight="1" x14ac:dyDescent="0.2">
      <c r="A597" s="163"/>
      <c r="B597" s="184" t="s">
        <v>101</v>
      </c>
      <c r="C597" s="210">
        <v>45324</v>
      </c>
      <c r="D597" s="149"/>
      <c r="E597" s="149"/>
      <c r="F597" s="529" t="s">
        <v>89</v>
      </c>
      <c r="G597" s="503"/>
      <c r="H597" s="149"/>
      <c r="I597" s="529" t="s">
        <v>102</v>
      </c>
      <c r="J597" s="502"/>
      <c r="K597" s="503"/>
      <c r="L597" s="186"/>
      <c r="M597" s="158"/>
      <c r="N597" s="175"/>
      <c r="O597" s="176" t="s">
        <v>103</v>
      </c>
      <c r="P597" s="176">
        <v>30</v>
      </c>
      <c r="Q597" s="176">
        <v>1</v>
      </c>
      <c r="R597" s="176">
        <v>0</v>
      </c>
      <c r="S597" s="156"/>
      <c r="T597" s="176" t="s">
        <v>103</v>
      </c>
      <c r="U597" s="182"/>
      <c r="V597" s="178"/>
      <c r="W597" s="182" t="str">
        <f t="shared" si="167"/>
        <v/>
      </c>
      <c r="X597" s="178"/>
      <c r="Y597" s="182" t="str">
        <f t="shared" si="168"/>
        <v/>
      </c>
      <c r="Z597" s="183"/>
      <c r="AA597" s="158"/>
      <c r="AB597" s="158"/>
      <c r="AC597" s="158"/>
    </row>
    <row r="598" spans="1:29" ht="18" customHeight="1" x14ac:dyDescent="0.2">
      <c r="A598" s="163"/>
      <c r="B598" s="149"/>
      <c r="C598" s="149"/>
      <c r="D598" s="149"/>
      <c r="E598" s="149"/>
      <c r="F598" s="149"/>
      <c r="G598" s="149"/>
      <c r="H598" s="187"/>
      <c r="I598" s="149"/>
      <c r="J598" s="149"/>
      <c r="K598" s="149"/>
      <c r="L598" s="188"/>
      <c r="M598" s="158"/>
      <c r="N598" s="175"/>
      <c r="O598" s="176" t="s">
        <v>104</v>
      </c>
      <c r="P598" s="176">
        <v>27</v>
      </c>
      <c r="Q598" s="176">
        <v>3</v>
      </c>
      <c r="R598" s="176">
        <v>0</v>
      </c>
      <c r="S598" s="156"/>
      <c r="T598" s="176" t="s">
        <v>104</v>
      </c>
      <c r="U598" s="182" t="str">
        <f t="shared" ref="U598:U606" si="169">Y597</f>
        <v/>
      </c>
      <c r="V598" s="178"/>
      <c r="W598" s="182" t="str">
        <f t="shared" si="167"/>
        <v/>
      </c>
      <c r="X598" s="178"/>
      <c r="Y598" s="182" t="str">
        <f t="shared" si="168"/>
        <v/>
      </c>
      <c r="Z598" s="183"/>
      <c r="AA598" s="158"/>
      <c r="AB598" s="158"/>
      <c r="AC598" s="158"/>
    </row>
    <row r="599" spans="1:29" ht="18" customHeight="1" x14ac:dyDescent="0.2">
      <c r="A599" s="163"/>
      <c r="B599" s="527" t="s">
        <v>88</v>
      </c>
      <c r="C599" s="503"/>
      <c r="D599" s="149"/>
      <c r="E599" s="149"/>
      <c r="F599" s="189" t="s">
        <v>105</v>
      </c>
      <c r="G599" s="190" t="str">
        <f>IF($J$1="January",U595,IF($J$1="February",U596,IF($J$1="March",U597,IF($J$1="April",U598,IF($J$1="May",U599,IF($J$1="June",U600,IF($J$1="July",U601,IF($J$1="August",U602,IF($J$1="August",U602,IF($J$1="September",U603,IF($J$1="October",U604,IF($J$1="November",U605,IF($J$1="December",U606)))))))))))))</f>
        <v/>
      </c>
      <c r="H599" s="187"/>
      <c r="I599" s="191">
        <f>IF(C603&gt;=C602,$K$2,C601+C603)</f>
        <v>29</v>
      </c>
      <c r="J599" s="192" t="s">
        <v>106</v>
      </c>
      <c r="K599" s="193">
        <f>K595/$K$2*I599</f>
        <v>33833.333333333336</v>
      </c>
      <c r="L599" s="194"/>
      <c r="M599" s="158"/>
      <c r="N599" s="175"/>
      <c r="O599" s="176" t="s">
        <v>107</v>
      </c>
      <c r="P599" s="176">
        <v>29</v>
      </c>
      <c r="Q599" s="176">
        <v>2</v>
      </c>
      <c r="R599" s="176">
        <v>0</v>
      </c>
      <c r="S599" s="156"/>
      <c r="T599" s="176" t="s">
        <v>107</v>
      </c>
      <c r="U599" s="182" t="str">
        <f t="shared" si="169"/>
        <v/>
      </c>
      <c r="V599" s="178"/>
      <c r="W599" s="182" t="str">
        <f t="shared" si="167"/>
        <v/>
      </c>
      <c r="X599" s="178"/>
      <c r="Y599" s="182" t="str">
        <f t="shared" si="168"/>
        <v/>
      </c>
      <c r="Z599" s="183"/>
      <c r="AA599" s="158"/>
      <c r="AB599" s="158"/>
      <c r="AC599" s="158"/>
    </row>
    <row r="600" spans="1:29" ht="18" customHeight="1" x14ac:dyDescent="0.2">
      <c r="A600" s="163"/>
      <c r="B600" s="195"/>
      <c r="C600" s="195"/>
      <c r="D600" s="149"/>
      <c r="E600" s="149"/>
      <c r="F600" s="189" t="s">
        <v>9</v>
      </c>
      <c r="G600" s="190">
        <f>IF($J$1="January",V595,IF($J$1="February",V596,IF($J$1="March",V597,IF($J$1="April",V598,IF($J$1="May",V599,IF($J$1="June",V600,IF($J$1="July",V601,IF($J$1="August",V602,IF($J$1="August",V602,IF($J$1="September",V603,IF($J$1="October",V604,IF($J$1="November",V605,IF($J$1="December",V606)))))))))))))</f>
        <v>0</v>
      </c>
      <c r="H600" s="187"/>
      <c r="I600" s="191">
        <v>16</v>
      </c>
      <c r="J600" s="192" t="s">
        <v>108</v>
      </c>
      <c r="K600" s="190">
        <f>K595/$K$2/8*I600</f>
        <v>2333.3333333333335</v>
      </c>
      <c r="L600" s="196"/>
      <c r="M600" s="158"/>
      <c r="N600" s="175"/>
      <c r="O600" s="176" t="s">
        <v>84</v>
      </c>
      <c r="P600" s="176">
        <v>28</v>
      </c>
      <c r="Q600" s="176">
        <v>2</v>
      </c>
      <c r="R600" s="176">
        <v>0</v>
      </c>
      <c r="S600" s="156"/>
      <c r="T600" s="176" t="s">
        <v>84</v>
      </c>
      <c r="U600" s="182" t="str">
        <f t="shared" si="169"/>
        <v/>
      </c>
      <c r="V600" s="178"/>
      <c r="W600" s="182" t="str">
        <f t="shared" si="167"/>
        <v/>
      </c>
      <c r="X600" s="178"/>
      <c r="Y600" s="182" t="str">
        <f t="shared" si="168"/>
        <v/>
      </c>
      <c r="Z600" s="183"/>
      <c r="AA600" s="158"/>
      <c r="AB600" s="158"/>
      <c r="AC600" s="158"/>
    </row>
    <row r="601" spans="1:29" ht="18" customHeight="1" x14ac:dyDescent="0.2">
      <c r="A601" s="163"/>
      <c r="B601" s="189" t="s">
        <v>92</v>
      </c>
      <c r="C601" s="195">
        <f>IF($J$1="January",P595,IF($J$1="February",P596,IF($J$1="March",P597,IF($J$1="April",P598,IF($J$1="May",P599,IF($J$1="June",P600,IF($J$1="July",P601,IF($J$1="August",P602,IF($J$1="August",P602,IF($J$1="September",P603,IF($J$1="October",P604,IF($J$1="November",P605,IF($J$1="December",P606)))))))))))))</f>
        <v>29</v>
      </c>
      <c r="D601" s="149"/>
      <c r="E601" s="149"/>
      <c r="F601" s="189" t="s">
        <v>109</v>
      </c>
      <c r="G601" s="190" t="str">
        <f>IF($J$1="January",W595,IF($J$1="February",W596,IF($J$1="March",W597,IF($J$1="April",W598,IF($J$1="May",W599,IF($J$1="June",W600,IF($J$1="July",W601,IF($J$1="August",W602,IF($J$1="August",W602,IF($J$1="September",W603,IF($J$1="October",W604,IF($J$1="November",W605,IF($J$1="December",W606)))))))))))))</f>
        <v/>
      </c>
      <c r="H601" s="187"/>
      <c r="I601" s="528" t="s">
        <v>110</v>
      </c>
      <c r="J601" s="503"/>
      <c r="K601" s="190">
        <f>K599+K600</f>
        <v>36166.666666666672</v>
      </c>
      <c r="L601" s="196"/>
      <c r="M601" s="158"/>
      <c r="N601" s="175"/>
      <c r="O601" s="176" t="s">
        <v>111</v>
      </c>
      <c r="P601" s="205">
        <v>29</v>
      </c>
      <c r="Q601" s="205">
        <v>2</v>
      </c>
      <c r="R601" s="176">
        <v>0</v>
      </c>
      <c r="S601" s="156"/>
      <c r="T601" s="176" t="s">
        <v>111</v>
      </c>
      <c r="U601" s="182" t="str">
        <f t="shared" si="169"/>
        <v/>
      </c>
      <c r="V601" s="178"/>
      <c r="W601" s="182" t="str">
        <f t="shared" si="167"/>
        <v/>
      </c>
      <c r="X601" s="178"/>
      <c r="Y601" s="182" t="str">
        <f t="shared" si="168"/>
        <v/>
      </c>
      <c r="Z601" s="183"/>
      <c r="AA601" s="158"/>
      <c r="AB601" s="158"/>
      <c r="AC601" s="158"/>
    </row>
    <row r="602" spans="1:29" ht="18" customHeight="1" x14ac:dyDescent="0.2">
      <c r="A602" s="163"/>
      <c r="B602" s="189" t="s">
        <v>93</v>
      </c>
      <c r="C602" s="195">
        <f>IF($J$1="January",Q595,IF($J$1="February",Q596,IF($J$1="March",Q597,IF($J$1="April",Q598,IF($J$1="May",Q599,IF($J$1="June",Q600,IF($J$1="July",Q601,IF($J$1="August",Q602,IF($J$1="August",Q602,IF($J$1="September",Q603,IF($J$1="October",Q604,IF($J$1="November",Q605,IF($J$1="December",Q606)))))))))))))</f>
        <v>1</v>
      </c>
      <c r="D602" s="149"/>
      <c r="E602" s="149"/>
      <c r="F602" s="189" t="s">
        <v>11</v>
      </c>
      <c r="G602" s="190">
        <f>IF($J$1="January",X595,IF($J$1="February",X596,IF($J$1="March",X597,IF($J$1="April",X598,IF($J$1="May",X599,IF($J$1="June",X600,IF($J$1="July",X601,IF($J$1="August",X602,IF($J$1="August",X602,IF($J$1="September",X603,IF($J$1="October",X604,IF($J$1="November",X605,IF($J$1="December",X606)))))))))))))</f>
        <v>0</v>
      </c>
      <c r="H602" s="187"/>
      <c r="I602" s="528" t="s">
        <v>112</v>
      </c>
      <c r="J602" s="503"/>
      <c r="K602" s="190">
        <f>G602</f>
        <v>0</v>
      </c>
      <c r="L602" s="196"/>
      <c r="M602" s="158"/>
      <c r="N602" s="175"/>
      <c r="O602" s="176" t="s">
        <v>113</v>
      </c>
      <c r="P602" s="176">
        <v>30</v>
      </c>
      <c r="Q602" s="176">
        <v>1</v>
      </c>
      <c r="R602" s="176">
        <v>0</v>
      </c>
      <c r="S602" s="156"/>
      <c r="T602" s="176" t="s">
        <v>113</v>
      </c>
      <c r="U602" s="182" t="str">
        <f t="shared" si="169"/>
        <v/>
      </c>
      <c r="V602" s="178"/>
      <c r="W602" s="182" t="str">
        <f t="shared" si="167"/>
        <v/>
      </c>
      <c r="X602" s="178"/>
      <c r="Y602" s="182" t="str">
        <f t="shared" si="168"/>
        <v/>
      </c>
      <c r="Z602" s="183"/>
      <c r="AA602" s="158"/>
      <c r="AB602" s="158"/>
      <c r="AC602" s="158"/>
    </row>
    <row r="603" spans="1:29" ht="18" customHeight="1" x14ac:dyDescent="0.2">
      <c r="A603" s="163"/>
      <c r="B603" s="204" t="s">
        <v>114</v>
      </c>
      <c r="C603" s="195">
        <f>IF($J$1="January",R595,IF($J$1="February",R596,IF($J$1="March",R597,IF($J$1="April",R598,IF($J$1="May",R599,IF($J$1="June",R600,IF($J$1="July",R601,IF($J$1="August",R602,IF($J$1="August",R602,IF($J$1="September",R603,IF($J$1="October",R604,IF($J$1="November",R605,IF($J$1="December",R606)))))))))))))</f>
        <v>0</v>
      </c>
      <c r="D603" s="149"/>
      <c r="E603" s="149"/>
      <c r="F603" s="204" t="s">
        <v>115</v>
      </c>
      <c r="G603" s="190" t="str">
        <f>IF($J$1="January",Y595,IF($J$1="February",Y596,IF($J$1="March",Y597,IF($J$1="April",Y598,IF($J$1="May",Y599,IF($J$1="June",Y600,IF($J$1="July",Y601,IF($J$1="August",Y602,IF($J$1="August",Y602,IF($J$1="September",Y603,IF($J$1="October",Y604,IF($J$1="November",Y605,IF($J$1="December",Y606)))))))))))))</f>
        <v/>
      </c>
      <c r="H603" s="149"/>
      <c r="I603" s="529" t="s">
        <v>13</v>
      </c>
      <c r="J603" s="503"/>
      <c r="K603" s="37">
        <f>K601-K602</f>
        <v>36166.666666666672</v>
      </c>
      <c r="L603" s="180"/>
      <c r="M603" s="158"/>
      <c r="N603" s="175"/>
      <c r="O603" s="176" t="s">
        <v>116</v>
      </c>
      <c r="P603" s="176">
        <v>29</v>
      </c>
      <c r="Q603" s="176">
        <v>1</v>
      </c>
      <c r="R603" s="176">
        <v>0</v>
      </c>
      <c r="S603" s="156"/>
      <c r="T603" s="176" t="s">
        <v>116</v>
      </c>
      <c r="U603" s="182" t="str">
        <f t="shared" si="169"/>
        <v/>
      </c>
      <c r="V603" s="178"/>
      <c r="W603" s="182" t="str">
        <f t="shared" si="167"/>
        <v/>
      </c>
      <c r="X603" s="178"/>
      <c r="Y603" s="182" t="str">
        <f t="shared" si="168"/>
        <v/>
      </c>
      <c r="Z603" s="183"/>
      <c r="AA603" s="158"/>
      <c r="AB603" s="158"/>
      <c r="AC603" s="158"/>
    </row>
    <row r="604" spans="1:29" ht="18" customHeight="1" x14ac:dyDescent="0.2">
      <c r="A604" s="163"/>
      <c r="B604" s="149"/>
      <c r="C604" s="149"/>
      <c r="D604" s="149"/>
      <c r="E604" s="149"/>
      <c r="F604" s="149"/>
      <c r="G604" s="149"/>
      <c r="H604" s="149"/>
      <c r="I604" s="530"/>
      <c r="J604" s="531"/>
      <c r="K604" s="151"/>
      <c r="L604" s="186"/>
      <c r="M604" s="158"/>
      <c r="N604" s="175"/>
      <c r="O604" s="176" t="s">
        <v>117</v>
      </c>
      <c r="P604" s="176"/>
      <c r="Q604" s="176"/>
      <c r="R604" s="176">
        <v>0</v>
      </c>
      <c r="S604" s="156"/>
      <c r="T604" s="176" t="s">
        <v>117</v>
      </c>
      <c r="U604" s="182" t="str">
        <f t="shared" si="169"/>
        <v/>
      </c>
      <c r="V604" s="178"/>
      <c r="W604" s="182" t="str">
        <f t="shared" si="167"/>
        <v/>
      </c>
      <c r="X604" s="178"/>
      <c r="Y604" s="182" t="str">
        <f t="shared" si="168"/>
        <v/>
      </c>
      <c r="Z604" s="183"/>
      <c r="AA604" s="158"/>
      <c r="AB604" s="158"/>
      <c r="AC604" s="158"/>
    </row>
    <row r="605" spans="1:29" ht="18" customHeight="1" x14ac:dyDescent="0.3">
      <c r="A605" s="163"/>
      <c r="B605" s="147"/>
      <c r="C605" s="147"/>
      <c r="D605" s="147"/>
      <c r="E605" s="147"/>
      <c r="F605" s="147"/>
      <c r="G605" s="147"/>
      <c r="H605" s="147"/>
      <c r="I605" s="530"/>
      <c r="J605" s="531"/>
      <c r="K605" s="151"/>
      <c r="L605" s="186"/>
      <c r="M605" s="158"/>
      <c r="N605" s="175"/>
      <c r="O605" s="176" t="s">
        <v>118</v>
      </c>
      <c r="P605" s="176"/>
      <c r="Q605" s="176"/>
      <c r="R605" s="176">
        <v>0</v>
      </c>
      <c r="S605" s="156"/>
      <c r="T605" s="176" t="s">
        <v>118</v>
      </c>
      <c r="U605" s="182" t="str">
        <f t="shared" si="169"/>
        <v/>
      </c>
      <c r="V605" s="178"/>
      <c r="W605" s="182" t="str">
        <f t="shared" si="167"/>
        <v/>
      </c>
      <c r="X605" s="178"/>
      <c r="Y605" s="182" t="str">
        <f t="shared" si="168"/>
        <v/>
      </c>
      <c r="Z605" s="183"/>
      <c r="AA605" s="158"/>
      <c r="AB605" s="158"/>
      <c r="AC605" s="158"/>
    </row>
    <row r="606" spans="1:29" ht="18" customHeight="1" thickBot="1" x14ac:dyDescent="0.35">
      <c r="A606" s="197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9"/>
      <c r="M606" s="158"/>
      <c r="N606" s="175"/>
      <c r="O606" s="176" t="s">
        <v>119</v>
      </c>
      <c r="P606" s="176"/>
      <c r="Q606" s="176"/>
      <c r="R606" s="176">
        <v>0</v>
      </c>
      <c r="S606" s="156"/>
      <c r="T606" s="176" t="s">
        <v>119</v>
      </c>
      <c r="U606" s="182" t="str">
        <f t="shared" si="169"/>
        <v/>
      </c>
      <c r="V606" s="178"/>
      <c r="W606" s="182" t="str">
        <f t="shared" si="167"/>
        <v/>
      </c>
      <c r="X606" s="178"/>
      <c r="Y606" s="182" t="str">
        <f t="shared" si="168"/>
        <v/>
      </c>
      <c r="Z606" s="183"/>
      <c r="AA606" s="158"/>
      <c r="AB606" s="158"/>
      <c r="AC606" s="158"/>
    </row>
    <row r="607" spans="1:29" ht="18" customHeight="1" thickBot="1" x14ac:dyDescent="0.25">
      <c r="A607" s="200"/>
      <c r="B607" s="200"/>
      <c r="C607" s="200"/>
      <c r="D607" s="200"/>
      <c r="E607" s="200"/>
      <c r="F607" s="200"/>
      <c r="G607" s="200"/>
      <c r="H607" s="200"/>
      <c r="I607" s="200"/>
      <c r="J607" s="200"/>
      <c r="K607" s="200"/>
      <c r="L607" s="200"/>
      <c r="M607" s="201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  <c r="AA607" s="201"/>
      <c r="AB607" s="201"/>
      <c r="AC607" s="201"/>
    </row>
    <row r="608" spans="1:29" ht="18" customHeight="1" thickBot="1" x14ac:dyDescent="0.25">
      <c r="A608" s="532" t="s">
        <v>87</v>
      </c>
      <c r="B608" s="533"/>
      <c r="C608" s="533"/>
      <c r="D608" s="533"/>
      <c r="E608" s="533"/>
      <c r="F608" s="533"/>
      <c r="G608" s="533"/>
      <c r="H608" s="533"/>
      <c r="I608" s="533"/>
      <c r="J608" s="533"/>
      <c r="K608" s="533"/>
      <c r="L608" s="534"/>
      <c r="M608" s="159"/>
      <c r="N608" s="160"/>
      <c r="O608" s="524" t="s">
        <v>88</v>
      </c>
      <c r="P608" s="525"/>
      <c r="Q608" s="525"/>
      <c r="R608" s="526"/>
      <c r="S608" s="161"/>
      <c r="T608" s="524" t="s">
        <v>89</v>
      </c>
      <c r="U608" s="525"/>
      <c r="V608" s="525"/>
      <c r="W608" s="525"/>
      <c r="X608" s="525"/>
      <c r="Y608" s="526"/>
      <c r="Z608" s="162"/>
      <c r="AA608" s="159"/>
      <c r="AB608" s="158"/>
      <c r="AC608" s="158"/>
    </row>
    <row r="609" spans="1:29" ht="18" customHeight="1" x14ac:dyDescent="0.2">
      <c r="A609" s="163"/>
      <c r="B609" s="149"/>
      <c r="C609" s="535" t="s">
        <v>194</v>
      </c>
      <c r="D609" s="531"/>
      <c r="E609" s="531"/>
      <c r="F609" s="531"/>
      <c r="G609" s="164" t="str">
        <f>$J$1</f>
        <v>September</v>
      </c>
      <c r="H609" s="536">
        <f>$K$1</f>
        <v>2024</v>
      </c>
      <c r="I609" s="531"/>
      <c r="J609" s="149"/>
      <c r="K609" s="165"/>
      <c r="L609" s="166"/>
      <c r="M609" s="167"/>
      <c r="N609" s="168"/>
      <c r="O609" s="169" t="s">
        <v>91</v>
      </c>
      <c r="P609" s="169" t="s">
        <v>92</v>
      </c>
      <c r="Q609" s="169" t="s">
        <v>93</v>
      </c>
      <c r="R609" s="169" t="s">
        <v>94</v>
      </c>
      <c r="S609" s="170"/>
      <c r="T609" s="169" t="s">
        <v>91</v>
      </c>
      <c r="U609" s="169" t="s">
        <v>95</v>
      </c>
      <c r="V609" s="169" t="s">
        <v>9</v>
      </c>
      <c r="W609" s="169" t="s">
        <v>10</v>
      </c>
      <c r="X609" s="169" t="s">
        <v>11</v>
      </c>
      <c r="Y609" s="169" t="s">
        <v>96</v>
      </c>
      <c r="Z609" s="171"/>
      <c r="AA609" s="167"/>
      <c r="AB609" s="158"/>
      <c r="AC609" s="158"/>
    </row>
    <row r="610" spans="1:29" ht="18" customHeight="1" x14ac:dyDescent="0.2">
      <c r="A610" s="163"/>
      <c r="B610" s="149"/>
      <c r="C610" s="149"/>
      <c r="D610" s="172"/>
      <c r="E610" s="172"/>
      <c r="F610" s="172"/>
      <c r="G610" s="172"/>
      <c r="H610" s="172"/>
      <c r="I610" s="149"/>
      <c r="J610" s="173" t="s">
        <v>97</v>
      </c>
      <c r="K610" s="151">
        <f>30000+5000</f>
        <v>35000</v>
      </c>
      <c r="L610" s="174"/>
      <c r="M610" s="158"/>
      <c r="N610" s="175"/>
      <c r="O610" s="176" t="s">
        <v>98</v>
      </c>
      <c r="P610" s="176">
        <v>28</v>
      </c>
      <c r="Q610" s="176">
        <v>3</v>
      </c>
      <c r="R610" s="176">
        <v>0</v>
      </c>
      <c r="S610" s="177"/>
      <c r="T610" s="176" t="s">
        <v>98</v>
      </c>
      <c r="U610" s="178"/>
      <c r="V610" s="178"/>
      <c r="W610" s="178">
        <f>V610+U610</f>
        <v>0</v>
      </c>
      <c r="X610" s="178"/>
      <c r="Y610" s="178">
        <f>W610-X610</f>
        <v>0</v>
      </c>
      <c r="Z610" s="171"/>
      <c r="AA610" s="158"/>
      <c r="AB610" s="158"/>
      <c r="AC610" s="158"/>
    </row>
    <row r="611" spans="1:29" ht="18" customHeight="1" x14ac:dyDescent="0.2">
      <c r="A611" s="163"/>
      <c r="B611" s="149" t="s">
        <v>99</v>
      </c>
      <c r="C611" s="148" t="s">
        <v>195</v>
      </c>
      <c r="D611" s="149"/>
      <c r="E611" s="149"/>
      <c r="F611" s="149"/>
      <c r="G611" s="149"/>
      <c r="H611" s="179"/>
      <c r="I611" s="172"/>
      <c r="J611" s="149"/>
      <c r="K611" s="149"/>
      <c r="L611" s="180"/>
      <c r="M611" s="159"/>
      <c r="N611" s="181"/>
      <c r="O611" s="176" t="s">
        <v>100</v>
      </c>
      <c r="P611" s="176">
        <v>29</v>
      </c>
      <c r="Q611" s="176">
        <v>0</v>
      </c>
      <c r="R611" s="176">
        <v>0</v>
      </c>
      <c r="S611" s="156"/>
      <c r="T611" s="176" t="s">
        <v>100</v>
      </c>
      <c r="U611" s="182">
        <f>Y610</f>
        <v>0</v>
      </c>
      <c r="V611" s="178">
        <v>500</v>
      </c>
      <c r="W611" s="182">
        <f t="shared" ref="W611:W621" si="170">IF(U611="","",U611+V611)</f>
        <v>500</v>
      </c>
      <c r="X611" s="178">
        <v>500</v>
      </c>
      <c r="Y611" s="182">
        <f t="shared" ref="Y611:Y621" si="171">IF(W611="","",W611-X611)</f>
        <v>0</v>
      </c>
      <c r="Z611" s="183"/>
      <c r="AA611" s="159"/>
      <c r="AB611" s="158"/>
      <c r="AC611" s="158"/>
    </row>
    <row r="612" spans="1:29" ht="18" customHeight="1" x14ac:dyDescent="0.2">
      <c r="A612" s="163"/>
      <c r="B612" s="184" t="s">
        <v>101</v>
      </c>
      <c r="C612" s="185"/>
      <c r="D612" s="149"/>
      <c r="E612" s="149"/>
      <c r="F612" s="529" t="s">
        <v>89</v>
      </c>
      <c r="G612" s="503"/>
      <c r="H612" s="149"/>
      <c r="I612" s="529" t="s">
        <v>102</v>
      </c>
      <c r="J612" s="502"/>
      <c r="K612" s="503"/>
      <c r="L612" s="186"/>
      <c r="M612" s="158"/>
      <c r="N612" s="175"/>
      <c r="O612" s="176" t="s">
        <v>103</v>
      </c>
      <c r="P612" s="176">
        <v>31</v>
      </c>
      <c r="Q612" s="176">
        <v>0</v>
      </c>
      <c r="R612" s="176">
        <v>0</v>
      </c>
      <c r="S612" s="156"/>
      <c r="T612" s="176" t="s">
        <v>103</v>
      </c>
      <c r="U612" s="182">
        <f>IF($J$1="February","",Y611)</f>
        <v>0</v>
      </c>
      <c r="V612" s="178"/>
      <c r="W612" s="182">
        <f t="shared" si="170"/>
        <v>0</v>
      </c>
      <c r="X612" s="178"/>
      <c r="Y612" s="182">
        <f t="shared" si="171"/>
        <v>0</v>
      </c>
      <c r="Z612" s="183"/>
      <c r="AA612" s="158"/>
      <c r="AB612" s="158"/>
      <c r="AC612" s="158"/>
    </row>
    <row r="613" spans="1:29" ht="18" customHeight="1" x14ac:dyDescent="0.2">
      <c r="A613" s="163"/>
      <c r="B613" s="149"/>
      <c r="C613" s="149"/>
      <c r="D613" s="149"/>
      <c r="E613" s="149"/>
      <c r="F613" s="149"/>
      <c r="G613" s="149"/>
      <c r="H613" s="187"/>
      <c r="I613" s="149"/>
      <c r="J613" s="149"/>
      <c r="K613" s="149"/>
      <c r="L613" s="188"/>
      <c r="M613" s="158"/>
      <c r="N613" s="175"/>
      <c r="O613" s="176" t="s">
        <v>104</v>
      </c>
      <c r="P613" s="205">
        <v>22</v>
      </c>
      <c r="Q613" s="205">
        <v>8</v>
      </c>
      <c r="R613" s="176">
        <v>0</v>
      </c>
      <c r="S613" s="156"/>
      <c r="T613" s="176" t="s">
        <v>104</v>
      </c>
      <c r="U613" s="182">
        <f>IF($J$1="March","",Y612)</f>
        <v>0</v>
      </c>
      <c r="V613" s="178"/>
      <c r="W613" s="182">
        <f t="shared" si="170"/>
        <v>0</v>
      </c>
      <c r="X613" s="178"/>
      <c r="Y613" s="182">
        <f t="shared" si="171"/>
        <v>0</v>
      </c>
      <c r="Z613" s="183"/>
      <c r="AA613" s="158"/>
      <c r="AB613" s="158"/>
      <c r="AC613" s="158"/>
    </row>
    <row r="614" spans="1:29" ht="18" customHeight="1" x14ac:dyDescent="0.2">
      <c r="A614" s="163"/>
      <c r="B614" s="527" t="s">
        <v>88</v>
      </c>
      <c r="C614" s="503"/>
      <c r="D614" s="149"/>
      <c r="E614" s="149"/>
      <c r="F614" s="189" t="s">
        <v>105</v>
      </c>
      <c r="G614" s="190">
        <f>IF($J$1="January",U610,IF($J$1="February",U611,IF($J$1="March",U612,IF($J$1="April",U613,IF($J$1="May",U614,IF($J$1="June",U615,IF($J$1="July",U616,IF($J$1="August",U617,IF($J$1="August",U617,IF($J$1="September",U618,IF($J$1="October",U619,IF($J$1="November",U620,IF($J$1="December",U621)))))))))))))</f>
        <v>0</v>
      </c>
      <c r="H614" s="187"/>
      <c r="I614" s="191">
        <f>IF(C618&gt;=C617,$K$2,C616+C618)</f>
        <v>30</v>
      </c>
      <c r="J614" s="192" t="s">
        <v>106</v>
      </c>
      <c r="K614" s="193">
        <f>K610/$K$2*I614</f>
        <v>35000</v>
      </c>
      <c r="L614" s="194"/>
      <c r="M614" s="158"/>
      <c r="N614" s="175"/>
      <c r="O614" s="176" t="s">
        <v>107</v>
      </c>
      <c r="P614" s="176">
        <v>23</v>
      </c>
      <c r="Q614" s="176">
        <v>8</v>
      </c>
      <c r="R614" s="176">
        <v>0</v>
      </c>
      <c r="S614" s="156"/>
      <c r="T614" s="176" t="s">
        <v>107</v>
      </c>
      <c r="U614" s="182">
        <f>IF($J$1="April","",Y613)</f>
        <v>0</v>
      </c>
      <c r="V614" s="178">
        <v>1000</v>
      </c>
      <c r="W614" s="182">
        <f t="shared" si="170"/>
        <v>1000</v>
      </c>
      <c r="X614" s="178">
        <v>1000</v>
      </c>
      <c r="Y614" s="182">
        <f t="shared" si="171"/>
        <v>0</v>
      </c>
      <c r="Z614" s="183"/>
      <c r="AA614" s="158"/>
      <c r="AB614" s="158"/>
      <c r="AC614" s="158"/>
    </row>
    <row r="615" spans="1:29" ht="18" customHeight="1" x14ac:dyDescent="0.2">
      <c r="A615" s="163"/>
      <c r="B615" s="195"/>
      <c r="C615" s="195"/>
      <c r="D615" s="149"/>
      <c r="E615" s="149"/>
      <c r="F615" s="189" t="s">
        <v>9</v>
      </c>
      <c r="G615" s="190">
        <f>IF($J$1="January",V610,IF($J$1="February",V611,IF($J$1="March",V612,IF($J$1="April",V613,IF($J$1="May",V614,IF($J$1="June",V615,IF($J$1="July",V616,IF($J$1="August",V617,IF($J$1="August",V617,IF($J$1="September",V618,IF($J$1="October",V619,IF($J$1="November",V620,IF($J$1="December",V621)))))))))))))</f>
        <v>0</v>
      </c>
      <c r="H615" s="187"/>
      <c r="I615" s="191">
        <v>6</v>
      </c>
      <c r="J615" s="192" t="s">
        <v>108</v>
      </c>
      <c r="K615" s="190">
        <f>K610/$K$2/8*I615</f>
        <v>875</v>
      </c>
      <c r="L615" s="196"/>
      <c r="M615" s="158"/>
      <c r="N615" s="175"/>
      <c r="O615" s="176" t="s">
        <v>84</v>
      </c>
      <c r="P615" s="176">
        <v>29</v>
      </c>
      <c r="Q615" s="176">
        <v>1</v>
      </c>
      <c r="R615" s="176">
        <f>15-Q192</f>
        <v>14</v>
      </c>
      <c r="S615" s="156"/>
      <c r="T615" s="176" t="s">
        <v>84</v>
      </c>
      <c r="U615" s="182"/>
      <c r="V615" s="178">
        <v>15000</v>
      </c>
      <c r="W615" s="182">
        <f>V615+U615</f>
        <v>15000</v>
      </c>
      <c r="X615" s="220">
        <v>5000</v>
      </c>
      <c r="Y615" s="182">
        <f t="shared" si="171"/>
        <v>10000</v>
      </c>
      <c r="Z615" s="183"/>
      <c r="AA615" s="158"/>
      <c r="AB615" s="158"/>
      <c r="AC615" s="158"/>
    </row>
    <row r="616" spans="1:29" ht="18" customHeight="1" x14ac:dyDescent="0.2">
      <c r="A616" s="163"/>
      <c r="B616" s="189" t="s">
        <v>92</v>
      </c>
      <c r="C616" s="195">
        <f>IF($J$1="January",P610,IF($J$1="February",P611,IF($J$1="March",P612,IF($J$1="April",P613,IF($J$1="May",P614,IF($J$1="June",P615,IF($J$1="July",P616,IF($J$1="August",P617,IF($J$1="August",P617,IF($J$1="September",P618,IF($J$1="October",P619,IF($J$1="November",P620,IF($J$1="December",P621)))))))))))))</f>
        <v>30</v>
      </c>
      <c r="D616" s="149"/>
      <c r="E616" s="149"/>
      <c r="F616" s="189" t="s">
        <v>109</v>
      </c>
      <c r="G616" s="190" t="str">
        <f>IF($J$1="January",W610,IF($J$1="February",W611,IF($J$1="March",W612,IF($J$1="April",W613,IF($J$1="May",W614,IF($J$1="June",W615,IF($J$1="July",W616,IF($J$1="August",W617,IF($J$1="August",W617,IF($J$1="September",W618,IF($J$1="October",W619,IF($J$1="November",W620,IF($J$1="December",W621)))))))))))))</f>
        <v/>
      </c>
      <c r="H616" s="187"/>
      <c r="I616" s="528" t="s">
        <v>110</v>
      </c>
      <c r="J616" s="503"/>
      <c r="K616" s="190">
        <f>K614+K615</f>
        <v>35875</v>
      </c>
      <c r="L616" s="196"/>
      <c r="M616" s="158"/>
      <c r="N616" s="175"/>
      <c r="O616" s="176" t="s">
        <v>111</v>
      </c>
      <c r="P616" s="176">
        <v>30</v>
      </c>
      <c r="Q616" s="176">
        <v>1</v>
      </c>
      <c r="R616" s="176">
        <f>R615-Q616</f>
        <v>13</v>
      </c>
      <c r="S616" s="156"/>
      <c r="T616" s="176" t="s">
        <v>111</v>
      </c>
      <c r="U616" s="182">
        <f t="shared" ref="U616" si="172">Y615</f>
        <v>10000</v>
      </c>
      <c r="V616" s="178"/>
      <c r="W616" s="182">
        <f t="shared" si="170"/>
        <v>10000</v>
      </c>
      <c r="X616" s="220">
        <v>5000</v>
      </c>
      <c r="Y616" s="182">
        <f t="shared" si="171"/>
        <v>5000</v>
      </c>
      <c r="Z616" s="183"/>
      <c r="AA616" s="158"/>
      <c r="AB616" s="158"/>
      <c r="AC616" s="158"/>
    </row>
    <row r="617" spans="1:29" ht="18" customHeight="1" x14ac:dyDescent="0.2">
      <c r="A617" s="163"/>
      <c r="B617" s="189" t="s">
        <v>93</v>
      </c>
      <c r="C617" s="195">
        <f>IF($J$1="January",Q610,IF($J$1="February",Q611,IF($J$1="March",Q612,IF($J$1="April",Q613,IF($J$1="May",Q614,IF($J$1="June",Q615,IF($J$1="July",Q616,IF($J$1="August",Q617,IF($J$1="August",Q617,IF($J$1="September",Q618,IF($J$1="October",Q619,IF($J$1="November",Q620,IF($J$1="December",Q621)))))))))))))</f>
        <v>0</v>
      </c>
      <c r="D617" s="149"/>
      <c r="E617" s="149"/>
      <c r="F617" s="189" t="s">
        <v>11</v>
      </c>
      <c r="G617" s="190">
        <f>IF($J$1="January",X610,IF($J$1="February",X611,IF($J$1="March",X612,IF($J$1="April",X613,IF($J$1="May",X614,IF($J$1="June",X615,IF($J$1="July",X616,IF($J$1="August",X617,IF($J$1="August",X617,IF($J$1="September",X618,IF($J$1="October",X619,IF($J$1="November",X620,IF($J$1="December",X621)))))))))))))</f>
        <v>0</v>
      </c>
      <c r="H617" s="187"/>
      <c r="I617" s="528" t="s">
        <v>112</v>
      </c>
      <c r="J617" s="503"/>
      <c r="K617" s="190">
        <f>G617</f>
        <v>0</v>
      </c>
      <c r="L617" s="196"/>
      <c r="M617" s="158"/>
      <c r="N617" s="175"/>
      <c r="O617" s="176" t="s">
        <v>113</v>
      </c>
      <c r="P617" s="176">
        <v>29</v>
      </c>
      <c r="Q617" s="176">
        <v>2</v>
      </c>
      <c r="R617" s="176">
        <f>R616-Q617</f>
        <v>11</v>
      </c>
      <c r="S617" s="156"/>
      <c r="T617" s="176" t="s">
        <v>113</v>
      </c>
      <c r="U617" s="182">
        <f>Y616</f>
        <v>5000</v>
      </c>
      <c r="V617" s="178"/>
      <c r="W617" s="182">
        <f t="shared" si="170"/>
        <v>5000</v>
      </c>
      <c r="X617" s="220">
        <v>5000</v>
      </c>
      <c r="Y617" s="182">
        <f t="shared" si="171"/>
        <v>0</v>
      </c>
      <c r="Z617" s="183"/>
      <c r="AA617" s="158"/>
      <c r="AB617" s="158"/>
      <c r="AC617" s="158"/>
    </row>
    <row r="618" spans="1:29" ht="18" customHeight="1" x14ac:dyDescent="0.2">
      <c r="A618" s="163"/>
      <c r="B618" s="204" t="s">
        <v>114</v>
      </c>
      <c r="C618" s="195">
        <f>IF($J$1="January",R610,IF($J$1="February",R611,IF($J$1="March",R612,IF($J$1="April",R613,IF($J$1="May",R614,IF($J$1="June",R615,IF($J$1="July",R616,IF($J$1="August",R617,IF($J$1="August",R617,IF($J$1="September",R618,IF($J$1="October",R619,IF($J$1="November",R620,IF($J$1="December",R621)))))))))))))</f>
        <v>0</v>
      </c>
      <c r="D618" s="149"/>
      <c r="E618" s="149"/>
      <c r="F618" s="204" t="s">
        <v>115</v>
      </c>
      <c r="G618" s="190" t="str">
        <f>IF($J$1="January",Y610,IF($J$1="February",Y611,IF($J$1="March",Y612,IF($J$1="April",Y613,IF($J$1="May",Y614,IF($J$1="June",Y615,IF($J$1="July",Y616,IF($J$1="August",Y617,IF($J$1="August",Y617,IF($J$1="September",Y618,IF($J$1="October",Y619,IF($J$1="November",Y620,IF($J$1="December",Y621)))))))))))))</f>
        <v/>
      </c>
      <c r="H618" s="149"/>
      <c r="I618" s="529" t="s">
        <v>13</v>
      </c>
      <c r="J618" s="503"/>
      <c r="K618" s="37">
        <f>K616-K617</f>
        <v>35875</v>
      </c>
      <c r="L618" s="180"/>
      <c r="M618" s="158"/>
      <c r="N618" s="175"/>
      <c r="O618" s="176" t="s">
        <v>116</v>
      </c>
      <c r="P618" s="176">
        <v>30</v>
      </c>
      <c r="Q618" s="176">
        <v>0</v>
      </c>
      <c r="R618" s="176">
        <v>0</v>
      </c>
      <c r="S618" s="156"/>
      <c r="T618" s="176" t="s">
        <v>116</v>
      </c>
      <c r="U618" s="182"/>
      <c r="V618" s="178"/>
      <c r="W618" s="182" t="str">
        <f t="shared" si="170"/>
        <v/>
      </c>
      <c r="X618" s="178"/>
      <c r="Y618" s="182" t="str">
        <f t="shared" si="171"/>
        <v/>
      </c>
      <c r="Z618" s="183"/>
      <c r="AA618" s="158"/>
      <c r="AB618" s="158"/>
      <c r="AC618" s="158"/>
    </row>
    <row r="619" spans="1:29" ht="18" customHeight="1" x14ac:dyDescent="0.2">
      <c r="A619" s="163"/>
      <c r="B619" s="149"/>
      <c r="C619" s="149"/>
      <c r="D619" s="149"/>
      <c r="E619" s="149"/>
      <c r="F619" s="149"/>
      <c r="G619" s="149"/>
      <c r="H619" s="149"/>
      <c r="I619" s="530"/>
      <c r="J619" s="531"/>
      <c r="K619" s="151"/>
      <c r="L619" s="186"/>
      <c r="M619" s="158"/>
      <c r="N619" s="175"/>
      <c r="O619" s="176" t="s">
        <v>117</v>
      </c>
      <c r="P619" s="176"/>
      <c r="Q619" s="176"/>
      <c r="R619" s="176">
        <v>0</v>
      </c>
      <c r="S619" s="156"/>
      <c r="T619" s="176" t="s">
        <v>117</v>
      </c>
      <c r="U619" s="182"/>
      <c r="V619" s="178"/>
      <c r="W619" s="182" t="str">
        <f t="shared" si="170"/>
        <v/>
      </c>
      <c r="X619" s="178"/>
      <c r="Y619" s="182" t="str">
        <f t="shared" si="171"/>
        <v/>
      </c>
      <c r="Z619" s="183"/>
      <c r="AA619" s="158"/>
      <c r="AB619" s="158"/>
      <c r="AC619" s="158"/>
    </row>
    <row r="620" spans="1:29" ht="18" customHeight="1" x14ac:dyDescent="0.3">
      <c r="A620" s="163"/>
      <c r="B620" s="147"/>
      <c r="C620" s="147"/>
      <c r="D620" s="147"/>
      <c r="E620" s="147"/>
      <c r="F620" s="147"/>
      <c r="G620" s="147"/>
      <c r="H620" s="147"/>
      <c r="I620" s="530"/>
      <c r="J620" s="531"/>
      <c r="K620" s="151"/>
      <c r="L620" s="186"/>
      <c r="M620" s="158"/>
      <c r="N620" s="175"/>
      <c r="O620" s="176" t="s">
        <v>118</v>
      </c>
      <c r="P620" s="176"/>
      <c r="Q620" s="176"/>
      <c r="R620" s="176">
        <v>0</v>
      </c>
      <c r="S620" s="156"/>
      <c r="T620" s="176" t="s">
        <v>118</v>
      </c>
      <c r="U620" s="182"/>
      <c r="V620" s="178"/>
      <c r="W620" s="182" t="str">
        <f t="shared" si="170"/>
        <v/>
      </c>
      <c r="X620" s="178"/>
      <c r="Y620" s="182" t="str">
        <f t="shared" si="171"/>
        <v/>
      </c>
      <c r="Z620" s="183"/>
      <c r="AA620" s="158"/>
      <c r="AB620" s="158"/>
      <c r="AC620" s="158"/>
    </row>
    <row r="621" spans="1:29" ht="18" customHeight="1" thickBot="1" x14ac:dyDescent="0.35">
      <c r="A621" s="197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9"/>
      <c r="M621" s="158"/>
      <c r="N621" s="175"/>
      <c r="O621" s="176" t="s">
        <v>119</v>
      </c>
      <c r="P621" s="176"/>
      <c r="Q621" s="176"/>
      <c r="R621" s="176">
        <v>0</v>
      </c>
      <c r="S621" s="156"/>
      <c r="T621" s="176" t="s">
        <v>119</v>
      </c>
      <c r="U621" s="182">
        <v>0</v>
      </c>
      <c r="V621" s="178"/>
      <c r="W621" s="182">
        <f t="shared" si="170"/>
        <v>0</v>
      </c>
      <c r="X621" s="178"/>
      <c r="Y621" s="182">
        <f t="shared" si="171"/>
        <v>0</v>
      </c>
      <c r="Z621" s="183"/>
      <c r="AA621" s="158"/>
      <c r="AB621" s="158"/>
      <c r="AC621" s="158"/>
    </row>
    <row r="622" spans="1:29" ht="18" customHeight="1" thickBot="1" x14ac:dyDescent="0.25">
      <c r="A622" s="200"/>
      <c r="B622" s="200"/>
      <c r="C622" s="200"/>
      <c r="D622" s="200"/>
      <c r="E622" s="200"/>
      <c r="F622" s="200"/>
      <c r="G622" s="200"/>
      <c r="H622" s="200"/>
      <c r="I622" s="200"/>
      <c r="J622" s="200"/>
      <c r="K622" s="200"/>
      <c r="L622" s="200"/>
      <c r="M622" s="201"/>
      <c r="N622" s="202"/>
      <c r="O622" s="202"/>
      <c r="P622" s="202"/>
      <c r="Q622" s="202"/>
      <c r="R622" s="202"/>
      <c r="S622" s="202"/>
      <c r="T622" s="202"/>
      <c r="U622" s="202"/>
      <c r="V622" s="202"/>
      <c r="W622" s="202"/>
      <c r="X622" s="202"/>
      <c r="Y622" s="202"/>
      <c r="Z622" s="202"/>
      <c r="AA622" s="201"/>
      <c r="AB622" s="201"/>
      <c r="AC622" s="201"/>
    </row>
    <row r="623" spans="1:29" ht="18" customHeight="1" x14ac:dyDescent="0.2">
      <c r="A623" s="573" t="s">
        <v>87</v>
      </c>
      <c r="B623" s="538"/>
      <c r="C623" s="538"/>
      <c r="D623" s="538"/>
      <c r="E623" s="538"/>
      <c r="F623" s="538"/>
      <c r="G623" s="538"/>
      <c r="H623" s="538"/>
      <c r="I623" s="538"/>
      <c r="J623" s="538"/>
      <c r="K623" s="538"/>
      <c r="L623" s="539"/>
      <c r="M623" s="159"/>
      <c r="N623" s="160"/>
      <c r="O623" s="524" t="s">
        <v>88</v>
      </c>
      <c r="P623" s="525"/>
      <c r="Q623" s="525"/>
      <c r="R623" s="526"/>
      <c r="S623" s="161"/>
      <c r="T623" s="524" t="s">
        <v>89</v>
      </c>
      <c r="U623" s="525"/>
      <c r="V623" s="525"/>
      <c r="W623" s="525"/>
      <c r="X623" s="525"/>
      <c r="Y623" s="526"/>
      <c r="Z623" s="156"/>
      <c r="AA623" s="158"/>
      <c r="AB623" s="158"/>
      <c r="AC623" s="158"/>
    </row>
    <row r="624" spans="1:29" ht="18" customHeight="1" x14ac:dyDescent="0.2">
      <c r="A624" s="163"/>
      <c r="B624" s="149"/>
      <c r="C624" s="535" t="s">
        <v>196</v>
      </c>
      <c r="D624" s="531"/>
      <c r="E624" s="531"/>
      <c r="F624" s="531"/>
      <c r="G624" s="164" t="str">
        <f>$J$1</f>
        <v>September</v>
      </c>
      <c r="H624" s="536">
        <f>$K$1</f>
        <v>2024</v>
      </c>
      <c r="I624" s="531"/>
      <c r="J624" s="149"/>
      <c r="K624" s="165"/>
      <c r="L624" s="166"/>
      <c r="M624" s="167"/>
      <c r="N624" s="168"/>
      <c r="O624" s="169" t="s">
        <v>91</v>
      </c>
      <c r="P624" s="169" t="s">
        <v>92</v>
      </c>
      <c r="Q624" s="169" t="s">
        <v>93</v>
      </c>
      <c r="R624" s="169" t="s">
        <v>94</v>
      </c>
      <c r="S624" s="170"/>
      <c r="T624" s="169" t="s">
        <v>91</v>
      </c>
      <c r="U624" s="169" t="s">
        <v>95</v>
      </c>
      <c r="V624" s="169" t="s">
        <v>9</v>
      </c>
      <c r="W624" s="169" t="s">
        <v>10</v>
      </c>
      <c r="X624" s="169" t="s">
        <v>11</v>
      </c>
      <c r="Y624" s="169" t="s">
        <v>96</v>
      </c>
      <c r="Z624" s="156"/>
      <c r="AA624" s="158"/>
      <c r="AB624" s="158"/>
      <c r="AC624" s="158"/>
    </row>
    <row r="625" spans="1:29" ht="18" customHeight="1" x14ac:dyDescent="0.2">
      <c r="A625" s="163"/>
      <c r="B625" s="149"/>
      <c r="C625" s="149"/>
      <c r="D625" s="172"/>
      <c r="E625" s="172"/>
      <c r="F625" s="172"/>
      <c r="G625" s="172"/>
      <c r="H625" s="172"/>
      <c r="I625" s="149"/>
      <c r="J625" s="173" t="s">
        <v>97</v>
      </c>
      <c r="K625" s="151">
        <f>35000+10000</f>
        <v>45000</v>
      </c>
      <c r="L625" s="174"/>
      <c r="M625" s="158"/>
      <c r="N625" s="175"/>
      <c r="O625" s="176" t="s">
        <v>98</v>
      </c>
      <c r="P625" s="176">
        <v>31</v>
      </c>
      <c r="Q625" s="176">
        <v>0</v>
      </c>
      <c r="R625" s="176">
        <v>0</v>
      </c>
      <c r="S625" s="177"/>
      <c r="T625" s="176" t="s">
        <v>98</v>
      </c>
      <c r="U625" s="178"/>
      <c r="V625" s="178"/>
      <c r="W625" s="178">
        <f>V625+U625</f>
        <v>0</v>
      </c>
      <c r="X625" s="178"/>
      <c r="Y625" s="178">
        <f>W625-X625</f>
        <v>0</v>
      </c>
      <c r="Z625" s="156"/>
      <c r="AA625" s="158"/>
      <c r="AB625" s="158"/>
      <c r="AC625" s="158"/>
    </row>
    <row r="626" spans="1:29" ht="18" customHeight="1" x14ac:dyDescent="0.2">
      <c r="A626" s="163"/>
      <c r="B626" s="149" t="s">
        <v>99</v>
      </c>
      <c r="C626" s="148" t="s">
        <v>197</v>
      </c>
      <c r="D626" s="149"/>
      <c r="E626" s="149"/>
      <c r="F626" s="149"/>
      <c r="G626" s="149"/>
      <c r="H626" s="179"/>
      <c r="I626" s="172"/>
      <c r="J626" s="149"/>
      <c r="K626" s="149"/>
      <c r="L626" s="180"/>
      <c r="M626" s="159"/>
      <c r="N626" s="181"/>
      <c r="O626" s="176" t="s">
        <v>100</v>
      </c>
      <c r="P626" s="176">
        <v>28</v>
      </c>
      <c r="Q626" s="176">
        <v>1</v>
      </c>
      <c r="R626" s="176">
        <v>0</v>
      </c>
      <c r="S626" s="156"/>
      <c r="T626" s="176" t="s">
        <v>100</v>
      </c>
      <c r="U626" s="182">
        <f t="shared" ref="U626:U627" si="173">Y625</f>
        <v>0</v>
      </c>
      <c r="V626" s="178"/>
      <c r="W626" s="182">
        <f t="shared" ref="W626:W633" si="174">IF(U626="","",U626+V626)</f>
        <v>0</v>
      </c>
      <c r="X626" s="178"/>
      <c r="Y626" s="182">
        <f t="shared" ref="Y626:Y633" si="175">IF(W626="","",W626-X626)</f>
        <v>0</v>
      </c>
      <c r="Z626" s="156"/>
      <c r="AA626" s="158"/>
      <c r="AB626" s="158"/>
      <c r="AC626" s="158"/>
    </row>
    <row r="627" spans="1:29" ht="18" customHeight="1" x14ac:dyDescent="0.2">
      <c r="A627" s="163"/>
      <c r="B627" s="184" t="s">
        <v>101</v>
      </c>
      <c r="C627" s="210">
        <v>45156</v>
      </c>
      <c r="D627" s="149"/>
      <c r="E627" s="149"/>
      <c r="F627" s="529" t="s">
        <v>89</v>
      </c>
      <c r="G627" s="503"/>
      <c r="H627" s="149"/>
      <c r="I627" s="529" t="s">
        <v>102</v>
      </c>
      <c r="J627" s="502"/>
      <c r="K627" s="503"/>
      <c r="L627" s="186"/>
      <c r="M627" s="158"/>
      <c r="N627" s="175"/>
      <c r="O627" s="176" t="s">
        <v>103</v>
      </c>
      <c r="P627" s="176">
        <v>31</v>
      </c>
      <c r="Q627" s="176">
        <v>0</v>
      </c>
      <c r="R627" s="176">
        <v>0</v>
      </c>
      <c r="S627" s="156"/>
      <c r="T627" s="176" t="s">
        <v>103</v>
      </c>
      <c r="U627" s="182">
        <f t="shared" si="173"/>
        <v>0</v>
      </c>
      <c r="V627" s="178"/>
      <c r="W627" s="182">
        <f t="shared" si="174"/>
        <v>0</v>
      </c>
      <c r="X627" s="178"/>
      <c r="Y627" s="182">
        <f t="shared" si="175"/>
        <v>0</v>
      </c>
      <c r="Z627" s="156"/>
      <c r="AA627" s="158"/>
      <c r="AB627" s="158"/>
      <c r="AC627" s="158"/>
    </row>
    <row r="628" spans="1:29" ht="18" customHeight="1" x14ac:dyDescent="0.2">
      <c r="A628" s="163"/>
      <c r="B628" s="149"/>
      <c r="C628" s="149"/>
      <c r="D628" s="149"/>
      <c r="E628" s="149"/>
      <c r="F628" s="149"/>
      <c r="G628" s="149"/>
      <c r="H628" s="187"/>
      <c r="I628" s="149"/>
      <c r="J628" s="149"/>
      <c r="K628" s="149"/>
      <c r="L628" s="188"/>
      <c r="M628" s="158"/>
      <c r="N628" s="175"/>
      <c r="O628" s="176" t="s">
        <v>104</v>
      </c>
      <c r="P628" s="176">
        <v>30</v>
      </c>
      <c r="Q628" s="176">
        <v>0</v>
      </c>
      <c r="R628" s="176">
        <v>0</v>
      </c>
      <c r="S628" s="156"/>
      <c r="T628" s="176" t="s">
        <v>104</v>
      </c>
      <c r="U628" s="182">
        <f>IF($J$1="March","",Y627)</f>
        <v>0</v>
      </c>
      <c r="V628" s="178"/>
      <c r="W628" s="182">
        <f t="shared" si="174"/>
        <v>0</v>
      </c>
      <c r="X628" s="178"/>
      <c r="Y628" s="182">
        <f t="shared" si="175"/>
        <v>0</v>
      </c>
      <c r="Z628" s="156"/>
      <c r="AA628" s="158"/>
      <c r="AB628" s="158"/>
      <c r="AC628" s="158"/>
    </row>
    <row r="629" spans="1:29" ht="18" customHeight="1" x14ac:dyDescent="0.2">
      <c r="A629" s="163"/>
      <c r="B629" s="527" t="s">
        <v>88</v>
      </c>
      <c r="C629" s="503"/>
      <c r="D629" s="149"/>
      <c r="E629" s="149"/>
      <c r="F629" s="189" t="s">
        <v>105</v>
      </c>
      <c r="G629" s="190">
        <f>IF($J$1="January",U625,IF($J$1="February",U626,IF($J$1="March",U627,IF($J$1="April",U628,IF($J$1="May",U629,IF($J$1="June",U630,IF($J$1="July",U631,IF($J$1="August",U632,IF($J$1="August",U632,IF($J$1="September",U633,IF($J$1="October",U634,IF($J$1="November",U635,IF($J$1="December",U636)))))))))))))</f>
        <v>0</v>
      </c>
      <c r="H629" s="187"/>
      <c r="I629" s="191">
        <f>IF(C633&gt;=C632,$K$2,C631+C633)</f>
        <v>30</v>
      </c>
      <c r="J629" s="192" t="s">
        <v>106</v>
      </c>
      <c r="K629" s="193">
        <f>K625/$K$2*I629</f>
        <v>45000</v>
      </c>
      <c r="L629" s="194"/>
      <c r="M629" s="158"/>
      <c r="N629" s="175"/>
      <c r="O629" s="176" t="s">
        <v>107</v>
      </c>
      <c r="P629" s="176">
        <v>31</v>
      </c>
      <c r="Q629" s="176">
        <v>0</v>
      </c>
      <c r="R629" s="176">
        <v>0</v>
      </c>
      <c r="S629" s="156"/>
      <c r="T629" s="176" t="s">
        <v>107</v>
      </c>
      <c r="U629" s="182">
        <f t="shared" ref="U629:U633" si="176">Y628</f>
        <v>0</v>
      </c>
      <c r="V629" s="178"/>
      <c r="W629" s="182">
        <f t="shared" si="174"/>
        <v>0</v>
      </c>
      <c r="X629" s="178"/>
      <c r="Y629" s="182">
        <f t="shared" si="175"/>
        <v>0</v>
      </c>
      <c r="Z629" s="156"/>
      <c r="AA629" s="158"/>
      <c r="AB629" s="158"/>
      <c r="AC629" s="158"/>
    </row>
    <row r="630" spans="1:29" ht="18" customHeight="1" x14ac:dyDescent="0.2">
      <c r="A630" s="163"/>
      <c r="B630" s="195"/>
      <c r="C630" s="195"/>
      <c r="D630" s="149"/>
      <c r="E630" s="149"/>
      <c r="F630" s="189" t="s">
        <v>9</v>
      </c>
      <c r="G630" s="190">
        <f>IF($J$1="January",V625,IF($J$1="February",V626,IF($J$1="March",V627,IF($J$1="April",V628,IF($J$1="May",V629,IF($J$1="June",V630,IF($J$1="July",V631,IF($J$1="August",V632,IF($J$1="August",V632,IF($J$1="September",V633,IF($J$1="October",V634,IF($J$1="November",V635,IF($J$1="December",V636)))))))))))))</f>
        <v>0</v>
      </c>
      <c r="H630" s="187"/>
      <c r="I630" s="191">
        <v>27</v>
      </c>
      <c r="J630" s="192" t="s">
        <v>108</v>
      </c>
      <c r="K630" s="190">
        <f>K625/$K$2/8*I630</f>
        <v>5062.5</v>
      </c>
      <c r="L630" s="196"/>
      <c r="M630" s="158"/>
      <c r="N630" s="175"/>
      <c r="O630" s="176" t="s">
        <v>84</v>
      </c>
      <c r="P630" s="176">
        <v>30</v>
      </c>
      <c r="Q630" s="176">
        <v>0</v>
      </c>
      <c r="R630" s="176">
        <v>0</v>
      </c>
      <c r="S630" s="156"/>
      <c r="T630" s="176" t="s">
        <v>84</v>
      </c>
      <c r="U630" s="182">
        <f t="shared" si="176"/>
        <v>0</v>
      </c>
      <c r="V630" s="178"/>
      <c r="W630" s="182">
        <f t="shared" si="174"/>
        <v>0</v>
      </c>
      <c r="X630" s="220"/>
      <c r="Y630" s="182">
        <f t="shared" si="175"/>
        <v>0</v>
      </c>
      <c r="Z630" s="156"/>
      <c r="AA630" s="158"/>
      <c r="AB630" s="158"/>
      <c r="AC630" s="158"/>
    </row>
    <row r="631" spans="1:29" ht="18" customHeight="1" x14ac:dyDescent="0.2">
      <c r="A631" s="163"/>
      <c r="B631" s="189" t="s">
        <v>92</v>
      </c>
      <c r="C631" s="195">
        <f>IF($J$1="January",P625,IF($J$1="February",P626,IF($J$1="March",P627,IF($J$1="April",P628,IF($J$1="May",P629,IF($J$1="June",P630,IF($J$1="July",P631,IF($J$1="August",P632,IF($J$1="August",P632,IF($J$1="September",P633,IF($J$1="October",P634,IF($J$1="November",P635,IF($J$1="December",P636)))))))))))))</f>
        <v>30</v>
      </c>
      <c r="D631" s="149"/>
      <c r="E631" s="149"/>
      <c r="F631" s="189" t="s">
        <v>109</v>
      </c>
      <c r="G631" s="190">
        <f>IF($J$1="January",W625,IF($J$1="February",W626,IF($J$1="March",W627,IF($J$1="April",W628,IF($J$1="May",W629,IF($J$1="June",W630,IF($J$1="July",W631,IF($J$1="August",W632,IF($J$1="August",W632,IF($J$1="September",W633,IF($J$1="October",W634,IF($J$1="November",W635,IF($J$1="December",W636)))))))))))))</f>
        <v>0</v>
      </c>
      <c r="H631" s="187"/>
      <c r="I631" s="528" t="s">
        <v>110</v>
      </c>
      <c r="J631" s="503"/>
      <c r="K631" s="190">
        <f>K629+K630</f>
        <v>50062.5</v>
      </c>
      <c r="L631" s="196"/>
      <c r="M631" s="158"/>
      <c r="N631" s="175"/>
      <c r="O631" s="176" t="s">
        <v>111</v>
      </c>
      <c r="P631" s="205">
        <v>31</v>
      </c>
      <c r="Q631" s="205">
        <v>0</v>
      </c>
      <c r="R631" s="176">
        <v>0</v>
      </c>
      <c r="S631" s="156"/>
      <c r="T631" s="176" t="s">
        <v>111</v>
      </c>
      <c r="U631" s="182">
        <f t="shared" si="176"/>
        <v>0</v>
      </c>
      <c r="V631" s="178"/>
      <c r="W631" s="182">
        <f t="shared" si="174"/>
        <v>0</v>
      </c>
      <c r="X631" s="220"/>
      <c r="Y631" s="182">
        <f t="shared" si="175"/>
        <v>0</v>
      </c>
      <c r="Z631" s="156"/>
      <c r="AA631" s="158"/>
      <c r="AB631" s="158"/>
      <c r="AC631" s="158"/>
    </row>
    <row r="632" spans="1:29" ht="18" customHeight="1" x14ac:dyDescent="0.2">
      <c r="A632" s="163"/>
      <c r="B632" s="189" t="s">
        <v>93</v>
      </c>
      <c r="C632" s="195">
        <f>IF($J$1="January",Q625,IF($J$1="February",Q626,IF($J$1="March",Q627,IF($J$1="April",Q628,IF($J$1="May",Q629,IF($J$1="June",Q630,IF($J$1="July",Q631,IF($J$1="August",Q632,IF($J$1="August",Q632,IF($J$1="September",Q633,IF($J$1="October",Q634,IF($J$1="November",Q635,IF($J$1="December",Q636)))))))))))))</f>
        <v>0</v>
      </c>
      <c r="D632" s="149"/>
      <c r="E632" s="149"/>
      <c r="F632" s="189" t="s">
        <v>11</v>
      </c>
      <c r="G632" s="190">
        <f>IF($J$1="January",X625,IF($J$1="February",X626,IF($J$1="March",X627,IF($J$1="April",X628,IF($J$1="May",X629,IF($J$1="June",X630,IF($J$1="July",X631,IF($J$1="August",X632,IF($J$1="August",X632,IF($J$1="September",X633,IF($J$1="October",X634,IF($J$1="November",X635,IF($J$1="December",X636)))))))))))))</f>
        <v>0</v>
      </c>
      <c r="H632" s="187"/>
      <c r="I632" s="528" t="s">
        <v>112</v>
      </c>
      <c r="J632" s="503"/>
      <c r="K632" s="190">
        <f>G632</f>
        <v>0</v>
      </c>
      <c r="L632" s="196"/>
      <c r="M632" s="158"/>
      <c r="N632" s="175"/>
      <c r="O632" s="176" t="s">
        <v>113</v>
      </c>
      <c r="P632" s="176">
        <v>30</v>
      </c>
      <c r="Q632" s="176">
        <v>1</v>
      </c>
      <c r="R632" s="176">
        <v>0</v>
      </c>
      <c r="S632" s="156"/>
      <c r="T632" s="176" t="s">
        <v>113</v>
      </c>
      <c r="U632" s="182">
        <f t="shared" si="176"/>
        <v>0</v>
      </c>
      <c r="V632" s="178"/>
      <c r="W632" s="182">
        <f t="shared" si="174"/>
        <v>0</v>
      </c>
      <c r="X632" s="220"/>
      <c r="Y632" s="182">
        <f t="shared" si="175"/>
        <v>0</v>
      </c>
      <c r="Z632" s="156"/>
      <c r="AA632" s="158"/>
      <c r="AB632" s="158"/>
      <c r="AC632" s="158"/>
    </row>
    <row r="633" spans="1:29" ht="18" customHeight="1" x14ac:dyDescent="0.2">
      <c r="A633" s="163"/>
      <c r="B633" s="212" t="s">
        <v>114</v>
      </c>
      <c r="C633" s="195">
        <f>IF($J$1="January",R625,IF($J$1="February",R626,IF($J$1="March",R627,IF($J$1="April",R628,IF($J$1="May",R629,IF($J$1="June",R630,IF($J$1="July",R631,IF($J$1="August",R632,IF($J$1="August",R632,IF($J$1="September",R633,IF($J$1="October",R634,IF($J$1="November",R635,IF($J$1="December",R636)))))))))))))</f>
        <v>0</v>
      </c>
      <c r="D633" s="149"/>
      <c r="E633" s="149"/>
      <c r="F633" s="189" t="s">
        <v>167</v>
      </c>
      <c r="G633" s="190">
        <f>IF($J$1="January",Y625,IF($J$1="February",Y626,IF($J$1="March",Y627,IF($J$1="April",Y628,IF($J$1="May",Y629,IF($J$1="June",Y630,IF($J$1="July",Y631,IF($J$1="August",Y632,IF($J$1="August",Y632,IF($J$1="September",Y633,IF($J$1="October",Y634,IF($J$1="November",Y635,IF($J$1="December",Y636)))))))))))))</f>
        <v>0</v>
      </c>
      <c r="H633" s="149"/>
      <c r="I633" s="529" t="s">
        <v>13</v>
      </c>
      <c r="J633" s="503"/>
      <c r="K633" s="37">
        <f>K631-K632</f>
        <v>50062.5</v>
      </c>
      <c r="L633" s="180"/>
      <c r="M633" s="158"/>
      <c r="N633" s="175"/>
      <c r="O633" s="176" t="s">
        <v>116</v>
      </c>
      <c r="P633" s="176">
        <v>30</v>
      </c>
      <c r="Q633" s="176">
        <v>0</v>
      </c>
      <c r="R633" s="176">
        <f t="shared" ref="R633:R634" si="177">IF(Q633="","",R632-Q633)</f>
        <v>0</v>
      </c>
      <c r="S633" s="156"/>
      <c r="T633" s="176" t="s">
        <v>116</v>
      </c>
      <c r="U633" s="182">
        <f t="shared" si="176"/>
        <v>0</v>
      </c>
      <c r="V633" s="178"/>
      <c r="W633" s="182">
        <f t="shared" si="174"/>
        <v>0</v>
      </c>
      <c r="X633" s="178"/>
      <c r="Y633" s="182">
        <f t="shared" si="175"/>
        <v>0</v>
      </c>
      <c r="Z633" s="156"/>
      <c r="AA633" s="158"/>
      <c r="AB633" s="158"/>
      <c r="AC633" s="158"/>
    </row>
    <row r="634" spans="1:29" ht="18" customHeight="1" x14ac:dyDescent="0.2">
      <c r="A634" s="163"/>
      <c r="B634" s="149"/>
      <c r="C634" s="149"/>
      <c r="D634" s="149"/>
      <c r="E634" s="149"/>
      <c r="F634" s="149"/>
      <c r="G634" s="149"/>
      <c r="H634" s="149"/>
      <c r="I634" s="530"/>
      <c r="J634" s="531"/>
      <c r="K634" s="151"/>
      <c r="L634" s="186"/>
      <c r="M634" s="158"/>
      <c r="N634" s="175"/>
      <c r="O634" s="176" t="s">
        <v>117</v>
      </c>
      <c r="P634" s="176"/>
      <c r="Q634" s="176"/>
      <c r="R634" s="176" t="str">
        <f t="shared" si="177"/>
        <v/>
      </c>
      <c r="S634" s="156"/>
      <c r="T634" s="176" t="s">
        <v>117</v>
      </c>
      <c r="U634" s="182" t="str">
        <f>IF($J$1="October",Y633,"")</f>
        <v/>
      </c>
      <c r="V634" s="178"/>
      <c r="W634" s="182"/>
      <c r="X634" s="178"/>
      <c r="Y634" s="182"/>
      <c r="Z634" s="156"/>
      <c r="AA634" s="158"/>
      <c r="AB634" s="158"/>
      <c r="AC634" s="158"/>
    </row>
    <row r="635" spans="1:29" ht="18" customHeight="1" x14ac:dyDescent="0.3">
      <c r="A635" s="163"/>
      <c r="B635" s="147"/>
      <c r="C635" s="147"/>
      <c r="D635" s="147"/>
      <c r="E635" s="147"/>
      <c r="F635" s="147"/>
      <c r="G635" s="147"/>
      <c r="H635" s="147"/>
      <c r="I635" s="530"/>
      <c r="J635" s="531"/>
      <c r="K635" s="151"/>
      <c r="L635" s="186"/>
      <c r="M635" s="158"/>
      <c r="N635" s="175"/>
      <c r="O635" s="176" t="s">
        <v>118</v>
      </c>
      <c r="P635" s="176"/>
      <c r="Q635" s="176"/>
      <c r="R635" s="176">
        <v>0</v>
      </c>
      <c r="S635" s="156"/>
      <c r="T635" s="176" t="s">
        <v>118</v>
      </c>
      <c r="U635" s="182"/>
      <c r="V635" s="178"/>
      <c r="W635" s="182"/>
      <c r="X635" s="178"/>
      <c r="Y635" s="182"/>
      <c r="Z635" s="156"/>
      <c r="AA635" s="158"/>
      <c r="AB635" s="158"/>
      <c r="AC635" s="158"/>
    </row>
    <row r="636" spans="1:29" ht="18" customHeight="1" x14ac:dyDescent="0.3">
      <c r="A636" s="163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86"/>
      <c r="M636" s="158"/>
      <c r="N636" s="175"/>
      <c r="O636" s="176" t="s">
        <v>119</v>
      </c>
      <c r="P636" s="176"/>
      <c r="Q636" s="176"/>
      <c r="R636" s="176">
        <v>0</v>
      </c>
      <c r="S636" s="156"/>
      <c r="T636" s="176" t="s">
        <v>119</v>
      </c>
      <c r="U636" s="182"/>
      <c r="V636" s="178"/>
      <c r="W636" s="182"/>
      <c r="X636" s="178"/>
      <c r="Y636" s="182"/>
      <c r="Z636" s="156"/>
      <c r="AA636" s="158"/>
      <c r="AB636" s="158"/>
      <c r="AC636" s="158"/>
    </row>
    <row r="637" spans="1:29" ht="18" customHeight="1" thickBot="1" x14ac:dyDescent="0.25">
      <c r="A637" s="197"/>
      <c r="B637" s="213"/>
      <c r="C637" s="213"/>
      <c r="D637" s="213"/>
      <c r="E637" s="213"/>
      <c r="F637" s="213"/>
      <c r="G637" s="213"/>
      <c r="H637" s="213"/>
      <c r="I637" s="213"/>
      <c r="J637" s="213"/>
      <c r="K637" s="213"/>
      <c r="L637" s="199"/>
      <c r="M637" s="158"/>
      <c r="N637" s="214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156"/>
      <c r="AA637" s="158"/>
      <c r="AB637" s="158"/>
      <c r="AC637" s="158"/>
    </row>
    <row r="638" spans="1:29" ht="18" customHeight="1" thickBot="1" x14ac:dyDescent="0.25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58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8"/>
      <c r="AB638" s="158"/>
      <c r="AC638" s="158"/>
    </row>
    <row r="639" spans="1:29" ht="18" customHeight="1" x14ac:dyDescent="0.2">
      <c r="A639" s="573" t="s">
        <v>87</v>
      </c>
      <c r="B639" s="538"/>
      <c r="C639" s="538"/>
      <c r="D639" s="538"/>
      <c r="E639" s="538"/>
      <c r="F639" s="538"/>
      <c r="G639" s="538"/>
      <c r="H639" s="538"/>
      <c r="I639" s="538"/>
      <c r="J639" s="538"/>
      <c r="K639" s="538"/>
      <c r="L639" s="539"/>
      <c r="M639" s="159"/>
      <c r="N639" s="160"/>
      <c r="O639" s="524" t="s">
        <v>88</v>
      </c>
      <c r="P639" s="525"/>
      <c r="Q639" s="525"/>
      <c r="R639" s="526"/>
      <c r="S639" s="161"/>
      <c r="T639" s="524" t="s">
        <v>89</v>
      </c>
      <c r="U639" s="525"/>
      <c r="V639" s="525"/>
      <c r="W639" s="525"/>
      <c r="X639" s="525"/>
      <c r="Y639" s="526"/>
      <c r="Z639" s="162"/>
      <c r="AA639" s="158"/>
      <c r="AB639" s="158"/>
      <c r="AC639" s="158"/>
    </row>
    <row r="640" spans="1:29" ht="18" customHeight="1" x14ac:dyDescent="0.2">
      <c r="A640" s="163"/>
      <c r="B640" s="149"/>
      <c r="C640" s="535" t="s">
        <v>198</v>
      </c>
      <c r="D640" s="531"/>
      <c r="E640" s="531"/>
      <c r="F640" s="531"/>
      <c r="G640" s="164" t="str">
        <f>$J$1</f>
        <v>September</v>
      </c>
      <c r="H640" s="536">
        <f>$K$1</f>
        <v>2024</v>
      </c>
      <c r="I640" s="531"/>
      <c r="J640" s="149"/>
      <c r="K640" s="165"/>
      <c r="L640" s="166"/>
      <c r="M640" s="167"/>
      <c r="N640" s="168"/>
      <c r="O640" s="169" t="s">
        <v>91</v>
      </c>
      <c r="P640" s="169" t="s">
        <v>92</v>
      </c>
      <c r="Q640" s="169" t="s">
        <v>93</v>
      </c>
      <c r="R640" s="169" t="s">
        <v>94</v>
      </c>
      <c r="S640" s="170"/>
      <c r="T640" s="169" t="s">
        <v>91</v>
      </c>
      <c r="U640" s="169" t="s">
        <v>95</v>
      </c>
      <c r="V640" s="169" t="s">
        <v>9</v>
      </c>
      <c r="W640" s="169" t="s">
        <v>10</v>
      </c>
      <c r="X640" s="169" t="s">
        <v>11</v>
      </c>
      <c r="Y640" s="169" t="s">
        <v>96</v>
      </c>
      <c r="Z640" s="171"/>
      <c r="AA640" s="158"/>
      <c r="AB640" s="158"/>
      <c r="AC640" s="158"/>
    </row>
    <row r="641" spans="1:29" ht="18" customHeight="1" x14ac:dyDescent="0.2">
      <c r="A641" s="163"/>
      <c r="B641" s="149"/>
      <c r="C641" s="149"/>
      <c r="D641" s="172"/>
      <c r="E641" s="172"/>
      <c r="F641" s="172"/>
      <c r="G641" s="172"/>
      <c r="H641" s="172"/>
      <c r="I641" s="149"/>
      <c r="J641" s="173" t="s">
        <v>97</v>
      </c>
      <c r="K641" s="151">
        <f>45000+5000</f>
        <v>50000</v>
      </c>
      <c r="L641" s="174"/>
      <c r="M641" s="158"/>
      <c r="N641" s="175"/>
      <c r="O641" s="176" t="s">
        <v>98</v>
      </c>
      <c r="P641" s="176">
        <v>30</v>
      </c>
      <c r="Q641" s="176">
        <v>1</v>
      </c>
      <c r="R641" s="176"/>
      <c r="S641" s="177"/>
      <c r="T641" s="176" t="s">
        <v>98</v>
      </c>
      <c r="U641" s="178">
        <v>4000</v>
      </c>
      <c r="V641" s="178">
        <f>5000+5000+5000+500</f>
        <v>15500</v>
      </c>
      <c r="W641" s="178">
        <f>V641+U641</f>
        <v>19500</v>
      </c>
      <c r="X641" s="178">
        <v>10000</v>
      </c>
      <c r="Y641" s="178">
        <f>W641-X641</f>
        <v>9500</v>
      </c>
      <c r="Z641" s="171"/>
      <c r="AA641" s="158"/>
      <c r="AB641" s="158"/>
      <c r="AC641" s="158"/>
    </row>
    <row r="642" spans="1:29" ht="18" customHeight="1" x14ac:dyDescent="0.2">
      <c r="A642" s="163"/>
      <c r="B642" s="149" t="s">
        <v>99</v>
      </c>
      <c r="C642" s="148" t="s">
        <v>199</v>
      </c>
      <c r="D642" s="149"/>
      <c r="E642" s="149"/>
      <c r="F642" s="149"/>
      <c r="G642" s="149"/>
      <c r="H642" s="179"/>
      <c r="I642" s="172"/>
      <c r="J642" s="149"/>
      <c r="K642" s="149"/>
      <c r="L642" s="180"/>
      <c r="M642" s="159"/>
      <c r="N642" s="181"/>
      <c r="O642" s="176" t="s">
        <v>100</v>
      </c>
      <c r="P642" s="176">
        <v>28</v>
      </c>
      <c r="Q642" s="176">
        <v>1</v>
      </c>
      <c r="R642" s="176"/>
      <c r="S642" s="156"/>
      <c r="T642" s="176" t="s">
        <v>100</v>
      </c>
      <c r="U642" s="182">
        <f t="shared" ref="U642:U643" si="178">Y641</f>
        <v>9500</v>
      </c>
      <c r="V642" s="178">
        <f>4000+3000</f>
        <v>7000</v>
      </c>
      <c r="W642" s="182">
        <f t="shared" ref="W642:W652" si="179">IF(U642="","",U642+V642)</f>
        <v>16500</v>
      </c>
      <c r="X642" s="178">
        <v>10000</v>
      </c>
      <c r="Y642" s="182">
        <f t="shared" ref="Y642:Y652" si="180">IF(W642="","",W642-X642)</f>
        <v>6500</v>
      </c>
      <c r="Z642" s="183"/>
      <c r="AA642" s="158"/>
      <c r="AB642" s="158"/>
      <c r="AC642" s="158"/>
    </row>
    <row r="643" spans="1:29" ht="18" customHeight="1" x14ac:dyDescent="0.2">
      <c r="A643" s="163"/>
      <c r="B643" s="184" t="s">
        <v>101</v>
      </c>
      <c r="C643" s="221"/>
      <c r="D643" s="149"/>
      <c r="E643" s="149"/>
      <c r="F643" s="529" t="s">
        <v>89</v>
      </c>
      <c r="G643" s="503"/>
      <c r="H643" s="149"/>
      <c r="I643" s="529" t="s">
        <v>102</v>
      </c>
      <c r="J643" s="502"/>
      <c r="K643" s="503"/>
      <c r="L643" s="186"/>
      <c r="M643" s="158"/>
      <c r="N643" s="175"/>
      <c r="O643" s="176" t="s">
        <v>103</v>
      </c>
      <c r="P643" s="176">
        <v>27</v>
      </c>
      <c r="Q643" s="176">
        <v>4</v>
      </c>
      <c r="R643" s="176"/>
      <c r="S643" s="156"/>
      <c r="T643" s="176" t="s">
        <v>103</v>
      </c>
      <c r="U643" s="182">
        <f t="shared" si="178"/>
        <v>6500</v>
      </c>
      <c r="V643" s="178">
        <f>5000+5000+5000+5000</f>
        <v>20000</v>
      </c>
      <c r="W643" s="182">
        <f t="shared" si="179"/>
        <v>26500</v>
      </c>
      <c r="X643" s="178">
        <v>20000</v>
      </c>
      <c r="Y643" s="182">
        <f t="shared" si="180"/>
        <v>6500</v>
      </c>
      <c r="Z643" s="183"/>
      <c r="AA643" s="158"/>
      <c r="AB643" s="158"/>
      <c r="AC643" s="158"/>
    </row>
    <row r="644" spans="1:29" ht="18" customHeight="1" x14ac:dyDescent="0.2">
      <c r="A644" s="163"/>
      <c r="B644" s="149"/>
      <c r="C644" s="149"/>
      <c r="D644" s="149"/>
      <c r="E644" s="149"/>
      <c r="F644" s="149"/>
      <c r="G644" s="149"/>
      <c r="H644" s="187"/>
      <c r="I644" s="149"/>
      <c r="J644" s="149"/>
      <c r="K644" s="149"/>
      <c r="L644" s="188"/>
      <c r="M644" s="158"/>
      <c r="N644" s="175"/>
      <c r="O644" s="176" t="s">
        <v>104</v>
      </c>
      <c r="P644" s="176">
        <v>29</v>
      </c>
      <c r="Q644" s="176">
        <v>1</v>
      </c>
      <c r="R644" s="176"/>
      <c r="S644" s="156"/>
      <c r="T644" s="176" t="s">
        <v>104</v>
      </c>
      <c r="U644" s="182">
        <f>IF($J$1="March","",Y643)</f>
        <v>6500</v>
      </c>
      <c r="V644" s="178">
        <f>5000+5000+3000</f>
        <v>13000</v>
      </c>
      <c r="W644" s="182">
        <f t="shared" si="179"/>
        <v>19500</v>
      </c>
      <c r="X644" s="178">
        <v>15000</v>
      </c>
      <c r="Y644" s="182">
        <f t="shared" si="180"/>
        <v>4500</v>
      </c>
      <c r="Z644" s="183"/>
      <c r="AA644" s="158"/>
      <c r="AB644" s="158"/>
      <c r="AC644" s="158"/>
    </row>
    <row r="645" spans="1:29" ht="18" customHeight="1" x14ac:dyDescent="0.2">
      <c r="A645" s="163"/>
      <c r="B645" s="527" t="s">
        <v>88</v>
      </c>
      <c r="C645" s="503"/>
      <c r="D645" s="149"/>
      <c r="E645" s="149"/>
      <c r="F645" s="189" t="s">
        <v>105</v>
      </c>
      <c r="G645" s="190">
        <f>IF($J$1="January",U641,IF($J$1="February",U642,IF($J$1="March",U643,IF($J$1="April",U644,IF($J$1="May",U645,IF($J$1="June",U646,IF($J$1="July",U647,IF($J$1="August",U648,IF($J$1="August",U648,IF($J$1="September",U649,IF($J$1="October",U650,IF($J$1="November",U651,IF($J$1="December",U652)))))))))))))</f>
        <v>35500</v>
      </c>
      <c r="H645" s="187"/>
      <c r="I645" s="191">
        <f>IF(C649&gt;0,$K$2,C647)</f>
        <v>30</v>
      </c>
      <c r="J645" s="192" t="s">
        <v>106</v>
      </c>
      <c r="K645" s="193">
        <f>K641/$K$2*I645</f>
        <v>50000</v>
      </c>
      <c r="L645" s="194"/>
      <c r="M645" s="158"/>
      <c r="N645" s="175"/>
      <c r="O645" s="176" t="s">
        <v>107</v>
      </c>
      <c r="P645" s="176">
        <v>24</v>
      </c>
      <c r="Q645" s="176">
        <v>7</v>
      </c>
      <c r="R645" s="176"/>
      <c r="S645" s="156"/>
      <c r="T645" s="176" t="s">
        <v>107</v>
      </c>
      <c r="U645" s="182">
        <f>Y644</f>
        <v>4500</v>
      </c>
      <c r="V645" s="178">
        <f>10000+1000</f>
        <v>11000</v>
      </c>
      <c r="W645" s="182">
        <f t="shared" si="179"/>
        <v>15500</v>
      </c>
      <c r="X645" s="178">
        <v>10000</v>
      </c>
      <c r="Y645" s="182">
        <f t="shared" si="180"/>
        <v>5500</v>
      </c>
      <c r="Z645" s="183"/>
      <c r="AA645" s="158"/>
      <c r="AB645" s="158"/>
      <c r="AC645" s="158"/>
    </row>
    <row r="646" spans="1:29" ht="18" customHeight="1" x14ac:dyDescent="0.2">
      <c r="A646" s="163"/>
      <c r="B646" s="195"/>
      <c r="C646" s="195"/>
      <c r="D646" s="149"/>
      <c r="E646" s="149"/>
      <c r="F646" s="189" t="s">
        <v>9</v>
      </c>
      <c r="G646" s="190">
        <f>IF($J$1="January",V641,IF($J$1="February",V642,IF($J$1="March",V643,IF($J$1="April",V644,IF($J$1="May",V645,IF($J$1="June",V646,IF($J$1="July",V647,IF($J$1="August",V648,IF($J$1="August",V648,IF($J$1="September",V649,IF($J$1="October",V650,IF($J$1="November",V651,IF($J$1="December",V652)))))))))))))</f>
        <v>15000</v>
      </c>
      <c r="H646" s="187"/>
      <c r="I646" s="211">
        <v>4.0999999999999996</v>
      </c>
      <c r="J646" s="192" t="s">
        <v>108</v>
      </c>
      <c r="K646" s="190">
        <f>K641/$K$2/8*I646</f>
        <v>854.16666666666663</v>
      </c>
      <c r="L646" s="196"/>
      <c r="M646" s="158"/>
      <c r="N646" s="175"/>
      <c r="O646" s="176" t="s">
        <v>84</v>
      </c>
      <c r="P646" s="176">
        <v>25</v>
      </c>
      <c r="Q646" s="176">
        <v>5</v>
      </c>
      <c r="R646" s="176"/>
      <c r="S646" s="156"/>
      <c r="T646" s="176" t="s">
        <v>84</v>
      </c>
      <c r="U646" s="182">
        <f>IF($J$1="May","",Y645)</f>
        <v>5500</v>
      </c>
      <c r="V646" s="178">
        <v>10000</v>
      </c>
      <c r="W646" s="182">
        <f t="shared" si="179"/>
        <v>15500</v>
      </c>
      <c r="X646" s="178">
        <v>10000</v>
      </c>
      <c r="Y646" s="182">
        <f t="shared" si="180"/>
        <v>5500</v>
      </c>
      <c r="Z646" s="183"/>
      <c r="AA646" s="158"/>
      <c r="AB646" s="158"/>
      <c r="AC646" s="158"/>
    </row>
    <row r="647" spans="1:29" ht="18" customHeight="1" x14ac:dyDescent="0.2">
      <c r="A647" s="163"/>
      <c r="B647" s="189" t="s">
        <v>92</v>
      </c>
      <c r="C647" s="195">
        <f>IF($J$1="January",P641,IF($J$1="February",P642,IF($J$1="March",P643,IF($J$1="April",P644,IF($J$1="May",P645,IF($J$1="June",P646,IF($J$1="July",P647,IF($J$1="August",P648,IF($J$1="August",P648,IF($J$1="September",P649,IF($J$1="October",P650,IF($J$1="November",P651,IF($J$1="December",P652)))))))))))))</f>
        <v>22</v>
      </c>
      <c r="D647" s="149"/>
      <c r="E647" s="149"/>
      <c r="F647" s="189" t="s">
        <v>109</v>
      </c>
      <c r="G647" s="190">
        <f>IF($J$1="January",W641,IF($J$1="February",W642,IF($J$1="March",W643,IF($J$1="April",W644,IF($J$1="May",W645,IF($J$1="June",W646,IF($J$1="July",W647,IF($J$1="August",W648,IF($J$1="August",W648,IF($J$1="September",W649,IF($J$1="October",W650,IF($J$1="November",W651,IF($J$1="December",W652)))))))))))))</f>
        <v>50500</v>
      </c>
      <c r="H647" s="187"/>
      <c r="I647" s="528" t="s">
        <v>110</v>
      </c>
      <c r="J647" s="503"/>
      <c r="K647" s="190">
        <f>K645+K646</f>
        <v>50854.166666666664</v>
      </c>
      <c r="L647" s="196"/>
      <c r="M647" s="158"/>
      <c r="N647" s="175"/>
      <c r="O647" s="176" t="s">
        <v>111</v>
      </c>
      <c r="P647" s="176">
        <v>31</v>
      </c>
      <c r="Q647" s="176">
        <v>7</v>
      </c>
      <c r="R647" s="176">
        <v>0</v>
      </c>
      <c r="S647" s="156"/>
      <c r="T647" s="176" t="s">
        <v>111</v>
      </c>
      <c r="U647" s="182">
        <f>IF($J$1="June","",Y646)</f>
        <v>5500</v>
      </c>
      <c r="V647" s="178">
        <v>15000</v>
      </c>
      <c r="W647" s="182">
        <f t="shared" si="179"/>
        <v>20500</v>
      </c>
      <c r="X647" s="255">
        <v>5000</v>
      </c>
      <c r="Y647" s="182">
        <f t="shared" si="180"/>
        <v>15500</v>
      </c>
      <c r="Z647" s="183"/>
      <c r="AA647" s="158"/>
      <c r="AB647" s="158"/>
      <c r="AC647" s="158"/>
    </row>
    <row r="648" spans="1:29" ht="18" customHeight="1" x14ac:dyDescent="0.2">
      <c r="A648" s="163"/>
      <c r="B648" s="189" t="s">
        <v>93</v>
      </c>
      <c r="C648" s="195">
        <f>IF($J$1="January",Q641,IF($J$1="February",Q642,IF($J$1="March",Q643,IF($J$1="April",Q644,IF($J$1="May",Q645,IF($J$1="June",Q646,IF($J$1="July",Q647,IF($J$1="August",Q648,IF($J$1="August",Q648,IF($J$1="September",Q649,IF($J$1="October",Q650,IF($J$1="November",Q651,IF($J$1="December",Q652)))))))))))))</f>
        <v>8</v>
      </c>
      <c r="D648" s="149"/>
      <c r="E648" s="149"/>
      <c r="F648" s="189" t="s">
        <v>11</v>
      </c>
      <c r="G648" s="190">
        <f>IF($J$1="January",X641,IF($J$1="February",X642,IF($J$1="March",X643,IF($J$1="April",X644,IF($J$1="May",X645,IF($J$1="June",X646,IF($J$1="July",X647,IF($J$1="August",X648,IF($J$1="August",X648,IF($J$1="September",X649,IF($J$1="October",X650,IF($J$1="November",X651,IF($J$1="December",X652)))))))))))))</f>
        <v>5000</v>
      </c>
      <c r="H648" s="187"/>
      <c r="I648" s="528" t="s">
        <v>112</v>
      </c>
      <c r="J648" s="503"/>
      <c r="K648" s="190">
        <f>G648</f>
        <v>5000</v>
      </c>
      <c r="L648" s="196"/>
      <c r="M648" s="158"/>
      <c r="N648" s="175"/>
      <c r="O648" s="176" t="s">
        <v>113</v>
      </c>
      <c r="P648" s="205">
        <v>25</v>
      </c>
      <c r="Q648" s="205">
        <v>6</v>
      </c>
      <c r="R648" s="176">
        <v>0</v>
      </c>
      <c r="S648" s="156"/>
      <c r="T648" s="176" t="s">
        <v>113</v>
      </c>
      <c r="U648" s="182">
        <f>Y647</f>
        <v>15500</v>
      </c>
      <c r="V648" s="178">
        <v>25000</v>
      </c>
      <c r="W648" s="182">
        <f t="shared" si="179"/>
        <v>40500</v>
      </c>
      <c r="X648" s="220">
        <v>5000</v>
      </c>
      <c r="Y648" s="182">
        <f t="shared" si="180"/>
        <v>35500</v>
      </c>
      <c r="Z648" s="183"/>
      <c r="AA648" s="158"/>
      <c r="AB648" s="158"/>
      <c r="AC648" s="158"/>
    </row>
    <row r="649" spans="1:29" ht="18" customHeight="1" x14ac:dyDescent="0.2">
      <c r="A649" s="163"/>
      <c r="B649" s="212" t="s">
        <v>114</v>
      </c>
      <c r="C649" s="195">
        <f>IF($J$1="January",R641,IF($J$1="February",R642,IF($J$1="March",R643,IF($J$1="April",R644,IF($J$1="May",R645,IF($J$1="June",R646,IF($J$1="July",R647,IF($J$1="August",R648,IF($J$1="August",R648,IF($J$1="September",R649,IF($J$1="October",R650,IF($J$1="November",R651,IF($J$1="December",R652)))))))))))))</f>
        <v>7</v>
      </c>
      <c r="D649" s="149"/>
      <c r="E649" s="149"/>
      <c r="F649" s="222" t="s">
        <v>167</v>
      </c>
      <c r="G649" s="190">
        <f>IF($J$1="January",Y641,IF($J$1="February",Y642,IF($J$1="March",Y643,IF($J$1="April",Y644,IF($J$1="May",Y645,IF($J$1="June",Y646,IF($J$1="July",Y647,IF($J$1="August",Y648,IF($J$1="August",Y648,IF($J$1="September",Y649,IF($J$1="October",Y650,IF($J$1="November",Y651,IF($J$1="December",Y652)))))))))))))</f>
        <v>45500</v>
      </c>
      <c r="H649" s="149"/>
      <c r="I649" s="529" t="s">
        <v>13</v>
      </c>
      <c r="J649" s="503"/>
      <c r="K649" s="37">
        <f>K647-K648</f>
        <v>45854.166666666664</v>
      </c>
      <c r="L649" s="180"/>
      <c r="M649" s="158"/>
      <c r="N649" s="175"/>
      <c r="O649" s="176" t="s">
        <v>116</v>
      </c>
      <c r="P649" s="176">
        <v>22</v>
      </c>
      <c r="Q649" s="176">
        <v>8</v>
      </c>
      <c r="R649" s="176">
        <f>15-Q649</f>
        <v>7</v>
      </c>
      <c r="S649" s="156"/>
      <c r="T649" s="176" t="s">
        <v>116</v>
      </c>
      <c r="U649" s="182">
        <f>Y648</f>
        <v>35500</v>
      </c>
      <c r="V649" s="178">
        <v>15000</v>
      </c>
      <c r="W649" s="182">
        <f t="shared" si="179"/>
        <v>50500</v>
      </c>
      <c r="X649" s="220">
        <v>5000</v>
      </c>
      <c r="Y649" s="182">
        <f t="shared" si="180"/>
        <v>45500</v>
      </c>
      <c r="Z649" s="183"/>
      <c r="AA649" s="158"/>
      <c r="AB649" s="158"/>
      <c r="AC649" s="158"/>
    </row>
    <row r="650" spans="1:29" ht="18" customHeight="1" x14ac:dyDescent="0.2">
      <c r="A650" s="163"/>
      <c r="B650" s="149"/>
      <c r="C650" s="149"/>
      <c r="D650" s="149"/>
      <c r="E650" s="149"/>
      <c r="F650" s="149"/>
      <c r="G650" s="149"/>
      <c r="H650" s="149"/>
      <c r="I650" s="530"/>
      <c r="J650" s="531"/>
      <c r="K650" s="151"/>
      <c r="L650" s="186"/>
      <c r="M650" s="158"/>
      <c r="N650" s="175"/>
      <c r="O650" s="176" t="s">
        <v>117</v>
      </c>
      <c r="P650" s="176"/>
      <c r="Q650" s="176"/>
      <c r="R650" s="176">
        <v>0</v>
      </c>
      <c r="S650" s="156"/>
      <c r="T650" s="176" t="s">
        <v>117</v>
      </c>
      <c r="U650" s="182"/>
      <c r="V650" s="178"/>
      <c r="W650" s="182" t="str">
        <f t="shared" si="179"/>
        <v/>
      </c>
      <c r="X650" s="178"/>
      <c r="Y650" s="182" t="str">
        <f t="shared" si="180"/>
        <v/>
      </c>
      <c r="Z650" s="183"/>
      <c r="AA650" s="158"/>
      <c r="AB650" s="158"/>
      <c r="AC650" s="158"/>
    </row>
    <row r="651" spans="1:29" ht="18" customHeight="1" x14ac:dyDescent="0.3">
      <c r="A651" s="163"/>
      <c r="B651" s="147"/>
      <c r="C651" s="147"/>
      <c r="D651" s="147"/>
      <c r="E651" s="147"/>
      <c r="F651" s="147"/>
      <c r="G651" s="147"/>
      <c r="H651" s="147"/>
      <c r="I651" s="530"/>
      <c r="J651" s="531"/>
      <c r="K651" s="151"/>
      <c r="L651" s="186"/>
      <c r="M651" s="158"/>
      <c r="N651" s="175"/>
      <c r="O651" s="176" t="s">
        <v>118</v>
      </c>
      <c r="P651" s="176"/>
      <c r="Q651" s="176"/>
      <c r="R651" s="176">
        <v>0</v>
      </c>
      <c r="S651" s="156"/>
      <c r="T651" s="176" t="s">
        <v>118</v>
      </c>
      <c r="U651" s="182"/>
      <c r="V651" s="178"/>
      <c r="W651" s="182" t="str">
        <f t="shared" si="179"/>
        <v/>
      </c>
      <c r="X651" s="178"/>
      <c r="Y651" s="182" t="str">
        <f t="shared" si="180"/>
        <v/>
      </c>
      <c r="Z651" s="183"/>
      <c r="AA651" s="158"/>
      <c r="AB651" s="158"/>
      <c r="AC651" s="158"/>
    </row>
    <row r="652" spans="1:29" ht="18" customHeight="1" x14ac:dyDescent="0.3">
      <c r="A652" s="163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86"/>
      <c r="M652" s="158"/>
      <c r="N652" s="175"/>
      <c r="O652" s="176" t="s">
        <v>119</v>
      </c>
      <c r="P652" s="176"/>
      <c r="Q652" s="176"/>
      <c r="R652" s="176">
        <f>R651-Q652</f>
        <v>0</v>
      </c>
      <c r="S652" s="156"/>
      <c r="T652" s="176" t="s">
        <v>119</v>
      </c>
      <c r="U652" s="182"/>
      <c r="V652" s="178"/>
      <c r="W652" s="182" t="str">
        <f t="shared" si="179"/>
        <v/>
      </c>
      <c r="X652" s="178"/>
      <c r="Y652" s="182" t="str">
        <f t="shared" si="180"/>
        <v/>
      </c>
      <c r="Z652" s="183"/>
      <c r="AA652" s="158"/>
      <c r="AB652" s="158"/>
      <c r="AC652" s="158"/>
    </row>
    <row r="653" spans="1:29" ht="18" customHeight="1" thickBot="1" x14ac:dyDescent="0.25">
      <c r="A653" s="197"/>
      <c r="B653" s="213"/>
      <c r="C653" s="213"/>
      <c r="D653" s="213"/>
      <c r="E653" s="213"/>
      <c r="F653" s="213"/>
      <c r="G653" s="213"/>
      <c r="H653" s="213"/>
      <c r="I653" s="213"/>
      <c r="J653" s="213"/>
      <c r="K653" s="213"/>
      <c r="L653" s="199"/>
      <c r="M653" s="158"/>
      <c r="N653" s="214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8"/>
      <c r="AA653" s="158"/>
      <c r="AB653" s="158"/>
      <c r="AC653" s="158"/>
    </row>
    <row r="654" spans="1:29" ht="18" customHeight="1" x14ac:dyDescent="0.2">
      <c r="A654" s="163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86"/>
      <c r="M654" s="158"/>
      <c r="N654" s="175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219"/>
      <c r="AA654" s="158"/>
      <c r="AB654" s="158"/>
      <c r="AC654" s="158"/>
    </row>
    <row r="655" spans="1:29" ht="18" customHeight="1" thickBot="1" x14ac:dyDescent="0.25">
      <c r="A655" s="163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86"/>
      <c r="M655" s="158"/>
      <c r="N655" s="175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219"/>
      <c r="AA655" s="158"/>
      <c r="AB655" s="158"/>
      <c r="AC655" s="158"/>
    </row>
    <row r="656" spans="1:29" ht="18" customHeight="1" thickBot="1" x14ac:dyDescent="0.25">
      <c r="A656" s="532" t="s">
        <v>87</v>
      </c>
      <c r="B656" s="533"/>
      <c r="C656" s="533"/>
      <c r="D656" s="533"/>
      <c r="E656" s="533"/>
      <c r="F656" s="533"/>
      <c r="G656" s="533"/>
      <c r="H656" s="533"/>
      <c r="I656" s="533"/>
      <c r="J656" s="533"/>
      <c r="K656" s="533"/>
      <c r="L656" s="534"/>
      <c r="M656" s="159"/>
      <c r="N656" s="160"/>
      <c r="O656" s="524" t="s">
        <v>88</v>
      </c>
      <c r="P656" s="525"/>
      <c r="Q656" s="525"/>
      <c r="R656" s="526"/>
      <c r="S656" s="161"/>
      <c r="T656" s="524" t="s">
        <v>89</v>
      </c>
      <c r="U656" s="525"/>
      <c r="V656" s="525"/>
      <c r="W656" s="525"/>
      <c r="X656" s="525"/>
      <c r="Y656" s="526"/>
      <c r="Z656" s="162"/>
      <c r="AA656" s="159"/>
      <c r="AB656" s="158"/>
      <c r="AC656" s="158"/>
    </row>
    <row r="657" spans="1:29" ht="18" customHeight="1" x14ac:dyDescent="0.2">
      <c r="A657" s="163"/>
      <c r="B657" s="149"/>
      <c r="C657" s="535" t="s">
        <v>202</v>
      </c>
      <c r="D657" s="531"/>
      <c r="E657" s="531"/>
      <c r="F657" s="531"/>
      <c r="G657" s="164" t="str">
        <f>$J$1</f>
        <v>September</v>
      </c>
      <c r="H657" s="536">
        <f>$K$1</f>
        <v>2024</v>
      </c>
      <c r="I657" s="531"/>
      <c r="J657" s="149"/>
      <c r="K657" s="165"/>
      <c r="L657" s="166"/>
      <c r="M657" s="167"/>
      <c r="N657" s="168"/>
      <c r="O657" s="169" t="s">
        <v>91</v>
      </c>
      <c r="P657" s="169" t="s">
        <v>92</v>
      </c>
      <c r="Q657" s="169" t="s">
        <v>93</v>
      </c>
      <c r="R657" s="169" t="s">
        <v>94</v>
      </c>
      <c r="S657" s="170"/>
      <c r="T657" s="169" t="s">
        <v>91</v>
      </c>
      <c r="U657" s="169" t="s">
        <v>95</v>
      </c>
      <c r="V657" s="169" t="s">
        <v>9</v>
      </c>
      <c r="W657" s="169" t="s">
        <v>10</v>
      </c>
      <c r="X657" s="169" t="s">
        <v>11</v>
      </c>
      <c r="Y657" s="169" t="s">
        <v>96</v>
      </c>
      <c r="Z657" s="171"/>
      <c r="AA657" s="167"/>
      <c r="AB657" s="158"/>
      <c r="AC657" s="158"/>
    </row>
    <row r="658" spans="1:29" ht="18" customHeight="1" x14ac:dyDescent="0.2">
      <c r="A658" s="163"/>
      <c r="B658" s="149"/>
      <c r="C658" s="149"/>
      <c r="D658" s="172"/>
      <c r="E658" s="172"/>
      <c r="F658" s="172"/>
      <c r="G658" s="172"/>
      <c r="H658" s="172"/>
      <c r="I658" s="149"/>
      <c r="J658" s="173" t="s">
        <v>97</v>
      </c>
      <c r="K658" s="151">
        <v>170000</v>
      </c>
      <c r="L658" s="174"/>
      <c r="M658" s="158"/>
      <c r="N658" s="175"/>
      <c r="O658" s="176" t="s">
        <v>98</v>
      </c>
      <c r="P658" s="176">
        <v>31</v>
      </c>
      <c r="Q658" s="176">
        <v>0</v>
      </c>
      <c r="R658" s="176">
        <v>0</v>
      </c>
      <c r="S658" s="177"/>
      <c r="T658" s="176" t="s">
        <v>98</v>
      </c>
      <c r="U658" s="178"/>
      <c r="V658" s="178"/>
      <c r="W658" s="178">
        <f>V658+U658</f>
        <v>0</v>
      </c>
      <c r="X658" s="178"/>
      <c r="Y658" s="178">
        <f>W658-X658</f>
        <v>0</v>
      </c>
      <c r="Z658" s="171"/>
      <c r="AA658" s="158"/>
      <c r="AB658" s="158"/>
      <c r="AC658" s="158"/>
    </row>
    <row r="659" spans="1:29" ht="18" customHeight="1" x14ac:dyDescent="0.2">
      <c r="A659" s="163"/>
      <c r="B659" s="149" t="s">
        <v>99</v>
      </c>
      <c r="C659" s="148" t="s">
        <v>203</v>
      </c>
      <c r="D659" s="149"/>
      <c r="E659" s="149"/>
      <c r="F659" s="149"/>
      <c r="G659" s="149"/>
      <c r="H659" s="179"/>
      <c r="I659" s="172"/>
      <c r="J659" s="149"/>
      <c r="K659" s="149"/>
      <c r="L659" s="180"/>
      <c r="M659" s="159"/>
      <c r="N659" s="181"/>
      <c r="O659" s="176" t="s">
        <v>100</v>
      </c>
      <c r="P659" s="176">
        <v>29</v>
      </c>
      <c r="Q659" s="176">
        <v>0</v>
      </c>
      <c r="R659" s="176">
        <f>IF(Q659="","",R658-Q659)</f>
        <v>0</v>
      </c>
      <c r="S659" s="156"/>
      <c r="T659" s="176" t="s">
        <v>100</v>
      </c>
      <c r="U659" s="182">
        <f>Y658</f>
        <v>0</v>
      </c>
      <c r="V659" s="178"/>
      <c r="W659" s="182">
        <f t="shared" ref="W659:W669" si="181">IF(U659="","",U659+V659)</f>
        <v>0</v>
      </c>
      <c r="X659" s="178"/>
      <c r="Y659" s="182">
        <f t="shared" ref="Y659:Y669" si="182">IF(W659="","",W659-X659)</f>
        <v>0</v>
      </c>
      <c r="Z659" s="183"/>
      <c r="AA659" s="159"/>
      <c r="AB659" s="158"/>
      <c r="AC659" s="158"/>
    </row>
    <row r="660" spans="1:29" ht="18" customHeight="1" x14ac:dyDescent="0.2">
      <c r="A660" s="163"/>
      <c r="B660" s="184" t="s">
        <v>101</v>
      </c>
      <c r="C660" s="574">
        <v>45208</v>
      </c>
      <c r="D660" s="531"/>
      <c r="E660" s="575"/>
      <c r="F660" s="529" t="s">
        <v>89</v>
      </c>
      <c r="G660" s="503"/>
      <c r="H660" s="149"/>
      <c r="I660" s="529" t="s">
        <v>102</v>
      </c>
      <c r="J660" s="502"/>
      <c r="K660" s="503"/>
      <c r="L660" s="186"/>
      <c r="M660" s="158"/>
      <c r="N660" s="175"/>
      <c r="O660" s="176" t="s">
        <v>103</v>
      </c>
      <c r="P660" s="176">
        <v>30</v>
      </c>
      <c r="Q660" s="176">
        <v>1</v>
      </c>
      <c r="R660" s="176">
        <v>0</v>
      </c>
      <c r="S660" s="156"/>
      <c r="T660" s="176" t="s">
        <v>103</v>
      </c>
      <c r="U660" s="182">
        <f t="shared" ref="U660:U661" si="183">IF($J$1="April",Y659,Y659)</f>
        <v>0</v>
      </c>
      <c r="V660" s="178"/>
      <c r="W660" s="182">
        <f t="shared" si="181"/>
        <v>0</v>
      </c>
      <c r="X660" s="178"/>
      <c r="Y660" s="182">
        <f t="shared" si="182"/>
        <v>0</v>
      </c>
      <c r="Z660" s="183"/>
      <c r="AA660" s="158"/>
      <c r="AB660" s="158"/>
      <c r="AC660" s="158"/>
    </row>
    <row r="661" spans="1:29" ht="18" customHeight="1" x14ac:dyDescent="0.2">
      <c r="A661" s="163"/>
      <c r="B661" s="149"/>
      <c r="C661" s="149"/>
      <c r="D661" s="149"/>
      <c r="E661" s="149"/>
      <c r="F661" s="149"/>
      <c r="G661" s="149"/>
      <c r="H661" s="187"/>
      <c r="I661" s="149"/>
      <c r="J661" s="149"/>
      <c r="K661" s="149"/>
      <c r="L661" s="188"/>
      <c r="M661" s="158"/>
      <c r="N661" s="175"/>
      <c r="O661" s="176" t="s">
        <v>104</v>
      </c>
      <c r="P661" s="176">
        <v>30</v>
      </c>
      <c r="Q661" s="176">
        <v>0</v>
      </c>
      <c r="R661" s="176">
        <f t="shared" ref="R661:R663" si="184">IF(Q661="","",R660-Q661)</f>
        <v>0</v>
      </c>
      <c r="S661" s="156"/>
      <c r="T661" s="176" t="s">
        <v>104</v>
      </c>
      <c r="U661" s="182">
        <f t="shared" si="183"/>
        <v>0</v>
      </c>
      <c r="V661" s="178"/>
      <c r="W661" s="182">
        <f t="shared" si="181"/>
        <v>0</v>
      </c>
      <c r="X661" s="178"/>
      <c r="Y661" s="182">
        <f t="shared" si="182"/>
        <v>0</v>
      </c>
      <c r="Z661" s="183"/>
      <c r="AA661" s="158"/>
      <c r="AB661" s="158"/>
      <c r="AC661" s="158"/>
    </row>
    <row r="662" spans="1:29" ht="18" customHeight="1" x14ac:dyDescent="0.2">
      <c r="A662" s="163"/>
      <c r="B662" s="527" t="s">
        <v>88</v>
      </c>
      <c r="C662" s="503"/>
      <c r="D662" s="149"/>
      <c r="E662" s="149"/>
      <c r="F662" s="189" t="s">
        <v>105</v>
      </c>
      <c r="G662" s="190">
        <f>IF($J$1="January",U658,IF($J$1="February",U659,IF($J$1="March",U660,IF($J$1="April",U661,IF($J$1="May",U662,IF($J$1="June",U663,IF($J$1="July",U664,IF($J$1="August",U665,IF($J$1="August",U665,IF($J$1="September",U666,IF($J$1="October",U667,IF($J$1="November",U668,IF($J$1="December",U669)))))))))))))</f>
        <v>0</v>
      </c>
      <c r="H662" s="187"/>
      <c r="I662" s="191">
        <f>IF(C666&gt;0,$K$2,C664)</f>
        <v>30</v>
      </c>
      <c r="J662" s="192" t="s">
        <v>106</v>
      </c>
      <c r="K662" s="193">
        <f>K658/$K$2*I662</f>
        <v>170000</v>
      </c>
      <c r="L662" s="194"/>
      <c r="M662" s="158"/>
      <c r="N662" s="175"/>
      <c r="O662" s="176" t="s">
        <v>107</v>
      </c>
      <c r="P662" s="176">
        <v>31</v>
      </c>
      <c r="Q662" s="176">
        <v>0</v>
      </c>
      <c r="R662" s="176">
        <f t="shared" si="184"/>
        <v>0</v>
      </c>
      <c r="S662" s="156"/>
      <c r="T662" s="176" t="s">
        <v>107</v>
      </c>
      <c r="U662" s="182">
        <f t="shared" ref="U662:U663" si="185">IF($J$1="May",Y661,Y661)</f>
        <v>0</v>
      </c>
      <c r="V662" s="178"/>
      <c r="W662" s="182">
        <f t="shared" si="181"/>
        <v>0</v>
      </c>
      <c r="X662" s="178"/>
      <c r="Y662" s="182">
        <f t="shared" si="182"/>
        <v>0</v>
      </c>
      <c r="Z662" s="183"/>
      <c r="AA662" s="158"/>
      <c r="AB662" s="158"/>
      <c r="AC662" s="158"/>
    </row>
    <row r="663" spans="1:29" ht="18" customHeight="1" x14ac:dyDescent="0.2">
      <c r="A663" s="163"/>
      <c r="B663" s="195"/>
      <c r="C663" s="195"/>
      <c r="D663" s="149"/>
      <c r="E663" s="149"/>
      <c r="F663" s="189" t="s">
        <v>9</v>
      </c>
      <c r="G663" s="190">
        <f>IF($J$1="January",V658,IF($J$1="February",V659,IF($J$1="March",V660,IF($J$1="April",V661,IF($J$1="May",V662,IF($J$1="June",V663,IF($J$1="July",V664,IF($J$1="August",V665,IF($J$1="August",V665,IF($J$1="September",V666,IF($J$1="October",V667,IF($J$1="November",V668,IF($J$1="December",V669)))))))))))))</f>
        <v>0</v>
      </c>
      <c r="H663" s="187"/>
      <c r="I663" s="191"/>
      <c r="J663" s="192" t="s">
        <v>108</v>
      </c>
      <c r="K663" s="190">
        <f>K658/$K$2/8*I663</f>
        <v>0</v>
      </c>
      <c r="L663" s="196"/>
      <c r="M663" s="158"/>
      <c r="N663" s="175"/>
      <c r="O663" s="176" t="s">
        <v>84</v>
      </c>
      <c r="P663" s="176">
        <v>30</v>
      </c>
      <c r="Q663" s="176">
        <v>0</v>
      </c>
      <c r="R663" s="176">
        <f t="shared" si="184"/>
        <v>0</v>
      </c>
      <c r="S663" s="156"/>
      <c r="T663" s="176" t="s">
        <v>84</v>
      </c>
      <c r="U663" s="182">
        <f t="shared" si="185"/>
        <v>0</v>
      </c>
      <c r="V663" s="178"/>
      <c r="W663" s="182">
        <f t="shared" si="181"/>
        <v>0</v>
      </c>
      <c r="X663" s="178"/>
      <c r="Y663" s="182">
        <f t="shared" si="182"/>
        <v>0</v>
      </c>
      <c r="Z663" s="183"/>
      <c r="AA663" s="158"/>
      <c r="AB663" s="158"/>
      <c r="AC663" s="158"/>
    </row>
    <row r="664" spans="1:29" ht="18" customHeight="1" x14ac:dyDescent="0.2">
      <c r="A664" s="163"/>
      <c r="B664" s="189" t="s">
        <v>92</v>
      </c>
      <c r="C664" s="195">
        <f>IF($J$1="January",P658,IF($J$1="February",P659,IF($J$1="March",P660,IF($J$1="April",P661,IF($J$1="May",P662,IF($J$1="June",P663,IF($J$1="July",P664,IF($J$1="August",P665,IF($J$1="August",P665,IF($J$1="September",P666,IF($J$1="October",P667,IF($J$1="November",P668,IF($J$1="December",P669)))))))))))))</f>
        <v>30</v>
      </c>
      <c r="D664" s="149"/>
      <c r="E664" s="149"/>
      <c r="F664" s="189" t="s">
        <v>109</v>
      </c>
      <c r="G664" s="190">
        <f>IF($J$1="January",W658,IF($J$1="February",W659,IF($J$1="March",W660,IF($J$1="April",W661,IF($J$1="May",W662,IF($J$1="June",W663,IF($J$1="July",W664,IF($J$1="August",W665,IF($J$1="August",W665,IF($J$1="September",W666,IF($J$1="October",W667,IF($J$1="November",W668,IF($J$1="December",W669)))))))))))))</f>
        <v>0</v>
      </c>
      <c r="H664" s="187"/>
      <c r="I664" s="528" t="s">
        <v>110</v>
      </c>
      <c r="J664" s="503"/>
      <c r="K664" s="190">
        <f>K662+K663</f>
        <v>170000</v>
      </c>
      <c r="L664" s="196"/>
      <c r="M664" s="158"/>
      <c r="N664" s="175"/>
      <c r="O664" s="176" t="s">
        <v>111</v>
      </c>
      <c r="P664" s="176">
        <v>31</v>
      </c>
      <c r="Q664" s="176">
        <v>0</v>
      </c>
      <c r="R664" s="176">
        <v>0</v>
      </c>
      <c r="S664" s="156"/>
      <c r="T664" s="176" t="s">
        <v>111</v>
      </c>
      <c r="U664" s="182">
        <f t="shared" ref="U664:U665" si="186">Y663</f>
        <v>0</v>
      </c>
      <c r="V664" s="178"/>
      <c r="W664" s="182">
        <f t="shared" si="181"/>
        <v>0</v>
      </c>
      <c r="X664" s="178"/>
      <c r="Y664" s="182">
        <f t="shared" si="182"/>
        <v>0</v>
      </c>
      <c r="Z664" s="183"/>
      <c r="AA664" s="158"/>
      <c r="AB664" s="158"/>
      <c r="AC664" s="158"/>
    </row>
    <row r="665" spans="1:29" ht="18" customHeight="1" x14ac:dyDescent="0.2">
      <c r="A665" s="163"/>
      <c r="B665" s="189" t="s">
        <v>93</v>
      </c>
      <c r="C665" s="195">
        <f>IF($J$1="January",Q658,IF($J$1="February",Q659,IF($J$1="March",Q660,IF($J$1="April",Q661,IF($J$1="May",Q662,IF($J$1="June",Q663,IF($J$1="July",Q664,IF($J$1="August",Q665,IF($J$1="August",Q665,IF($J$1="September",Q666,IF($J$1="October",Q667,IF($J$1="November",Q668,IF($J$1="December",Q669)))))))))))))</f>
        <v>0</v>
      </c>
      <c r="D665" s="149"/>
      <c r="E665" s="149"/>
      <c r="F665" s="189" t="s">
        <v>11</v>
      </c>
      <c r="G665" s="190">
        <f>IF($J$1="January",X658,IF($J$1="February",X659,IF($J$1="March",X660,IF($J$1="April",X661,IF($J$1="May",X662,IF($J$1="June",X663,IF($J$1="July",X664,IF($J$1="August",X665,IF($J$1="August",X665,IF($J$1="September",X666,IF($J$1="October",X667,IF($J$1="November",X668,IF($J$1="December",X669)))))))))))))</f>
        <v>0</v>
      </c>
      <c r="H665" s="187"/>
      <c r="I665" s="528" t="s">
        <v>112</v>
      </c>
      <c r="J665" s="503"/>
      <c r="K665" s="190">
        <f>G665</f>
        <v>0</v>
      </c>
      <c r="L665" s="196"/>
      <c r="M665" s="158"/>
      <c r="N665" s="175"/>
      <c r="O665" s="176" t="s">
        <v>113</v>
      </c>
      <c r="P665" s="176">
        <v>31</v>
      </c>
      <c r="Q665" s="176">
        <v>0</v>
      </c>
      <c r="R665" s="176">
        <v>0</v>
      </c>
      <c r="S665" s="156"/>
      <c r="T665" s="176" t="s">
        <v>113</v>
      </c>
      <c r="U665" s="182">
        <f t="shared" si="186"/>
        <v>0</v>
      </c>
      <c r="V665" s="178"/>
      <c r="W665" s="182">
        <f t="shared" si="181"/>
        <v>0</v>
      </c>
      <c r="X665" s="178"/>
      <c r="Y665" s="182">
        <f t="shared" si="182"/>
        <v>0</v>
      </c>
      <c r="Z665" s="183"/>
      <c r="AA665" s="158"/>
      <c r="AB665" s="158"/>
      <c r="AC665" s="158"/>
    </row>
    <row r="666" spans="1:29" ht="18" customHeight="1" x14ac:dyDescent="0.2">
      <c r="A666" s="163"/>
      <c r="B666" s="204" t="s">
        <v>114</v>
      </c>
      <c r="C666" s="195">
        <f>IF($J$1="January",R658,IF($J$1="February",R659,IF($J$1="March",R660,IF($J$1="April",R661,IF($J$1="May",R662,IF($J$1="June",R663,IF($J$1="July",R664,IF($J$1="August",R665,IF($J$1="August",R665,IF($J$1="September",R666,IF($J$1="October",R667,IF($J$1="November",R668,IF($J$1="December",R669)))))))))))))</f>
        <v>0</v>
      </c>
      <c r="D666" s="149"/>
      <c r="E666" s="149"/>
      <c r="F666" s="204" t="s">
        <v>115</v>
      </c>
      <c r="G666" s="190">
        <f>IF($J$1="January",Y658,IF($J$1="February",Y659,IF($J$1="March",Y660,IF($J$1="April",Y661,IF($J$1="May",Y662,IF($J$1="June",Y663,IF($J$1="July",Y664,IF($J$1="August",Y665,IF($J$1="August",Y665,IF($J$1="September",Y666,IF($J$1="October",Y667,IF($J$1="November",Y668,IF($J$1="December",Y669)))))))))))))</f>
        <v>0</v>
      </c>
      <c r="H666" s="149"/>
      <c r="I666" s="529" t="s">
        <v>13</v>
      </c>
      <c r="J666" s="503"/>
      <c r="K666" s="37">
        <f>K664-K665</f>
        <v>170000</v>
      </c>
      <c r="L666" s="180"/>
      <c r="M666" s="158"/>
      <c r="N666" s="175"/>
      <c r="O666" s="176" t="s">
        <v>116</v>
      </c>
      <c r="P666" s="176">
        <v>30</v>
      </c>
      <c r="Q666" s="176">
        <v>0</v>
      </c>
      <c r="R666" s="176">
        <v>0</v>
      </c>
      <c r="S666" s="156"/>
      <c r="T666" s="176" t="s">
        <v>116</v>
      </c>
      <c r="U666" s="182">
        <f>IF($J$1="September",Y665,"")</f>
        <v>0</v>
      </c>
      <c r="V666" s="178"/>
      <c r="W666" s="182">
        <f t="shared" si="181"/>
        <v>0</v>
      </c>
      <c r="X666" s="178"/>
      <c r="Y666" s="182">
        <f t="shared" si="182"/>
        <v>0</v>
      </c>
      <c r="Z666" s="183"/>
      <c r="AA666" s="158"/>
      <c r="AB666" s="158"/>
      <c r="AC666" s="158"/>
    </row>
    <row r="667" spans="1:29" ht="18" customHeight="1" x14ac:dyDescent="0.2">
      <c r="A667" s="163"/>
      <c r="B667" s="149"/>
      <c r="C667" s="149"/>
      <c r="D667" s="149"/>
      <c r="E667" s="149"/>
      <c r="F667" s="149"/>
      <c r="G667" s="149"/>
      <c r="H667" s="149"/>
      <c r="I667" s="530"/>
      <c r="J667" s="531"/>
      <c r="K667" s="151"/>
      <c r="L667" s="186"/>
      <c r="M667" s="158"/>
      <c r="N667" s="175"/>
      <c r="O667" s="176" t="s">
        <v>117</v>
      </c>
      <c r="P667" s="205"/>
      <c r="Q667" s="205"/>
      <c r="R667" s="176">
        <v>0</v>
      </c>
      <c r="S667" s="156"/>
      <c r="T667" s="176" t="s">
        <v>117</v>
      </c>
      <c r="U667" s="182" t="str">
        <f>IF($J$1="October",Y666,"")</f>
        <v/>
      </c>
      <c r="V667" s="178"/>
      <c r="W667" s="182" t="str">
        <f t="shared" si="181"/>
        <v/>
      </c>
      <c r="X667" s="178"/>
      <c r="Y667" s="182" t="str">
        <f t="shared" si="182"/>
        <v/>
      </c>
      <c r="Z667" s="183"/>
      <c r="AA667" s="158"/>
      <c r="AB667" s="158"/>
      <c r="AC667" s="158"/>
    </row>
    <row r="668" spans="1:29" ht="18" customHeight="1" x14ac:dyDescent="0.3">
      <c r="A668" s="163"/>
      <c r="B668" s="147"/>
      <c r="C668" s="147"/>
      <c r="D668" s="147"/>
      <c r="E668" s="147"/>
      <c r="F668" s="172"/>
      <c r="G668" s="147"/>
      <c r="H668" s="147"/>
      <c r="I668" s="530"/>
      <c r="J668" s="531"/>
      <c r="K668" s="151"/>
      <c r="L668" s="186"/>
      <c r="M668" s="158"/>
      <c r="N668" s="175"/>
      <c r="O668" s="176" t="s">
        <v>118</v>
      </c>
      <c r="P668" s="176"/>
      <c r="Q668" s="176"/>
      <c r="R668" s="176">
        <v>0</v>
      </c>
      <c r="S668" s="156"/>
      <c r="T668" s="176" t="s">
        <v>118</v>
      </c>
      <c r="U668" s="182"/>
      <c r="V668" s="178"/>
      <c r="W668" s="182" t="str">
        <f t="shared" si="181"/>
        <v/>
      </c>
      <c r="X668" s="178"/>
      <c r="Y668" s="182" t="str">
        <f t="shared" si="182"/>
        <v/>
      </c>
      <c r="Z668" s="183"/>
      <c r="AA668" s="158"/>
      <c r="AB668" s="158"/>
      <c r="AC668" s="158"/>
    </row>
    <row r="669" spans="1:29" ht="18" customHeight="1" thickBot="1" x14ac:dyDescent="0.35">
      <c r="A669" s="197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9"/>
      <c r="M669" s="158"/>
      <c r="N669" s="175"/>
      <c r="O669" s="176" t="s">
        <v>119</v>
      </c>
      <c r="P669" s="176"/>
      <c r="Q669" s="176"/>
      <c r="R669" s="176">
        <v>0</v>
      </c>
      <c r="S669" s="156"/>
      <c r="T669" s="176" t="s">
        <v>119</v>
      </c>
      <c r="U669" s="182"/>
      <c r="V669" s="178"/>
      <c r="W669" s="182" t="str">
        <f t="shared" si="181"/>
        <v/>
      </c>
      <c r="X669" s="178"/>
      <c r="Y669" s="182" t="str">
        <f t="shared" si="182"/>
        <v/>
      </c>
      <c r="Z669" s="183"/>
      <c r="AA669" s="158"/>
      <c r="AB669" s="158"/>
      <c r="AC669" s="158"/>
    </row>
    <row r="670" spans="1:29" ht="18" customHeight="1" thickBot="1" x14ac:dyDescent="0.25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58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8"/>
      <c r="AB670" s="158"/>
      <c r="AC670" s="158"/>
    </row>
    <row r="671" spans="1:29" ht="18" customHeight="1" thickBot="1" x14ac:dyDescent="0.25">
      <c r="A671" s="532" t="s">
        <v>87</v>
      </c>
      <c r="B671" s="533"/>
      <c r="C671" s="533"/>
      <c r="D671" s="533"/>
      <c r="E671" s="533"/>
      <c r="F671" s="533"/>
      <c r="G671" s="533"/>
      <c r="H671" s="533"/>
      <c r="I671" s="533"/>
      <c r="J671" s="533"/>
      <c r="K671" s="533"/>
      <c r="L671" s="534"/>
      <c r="M671" s="159"/>
      <c r="N671" s="160"/>
      <c r="O671" s="524" t="s">
        <v>88</v>
      </c>
      <c r="P671" s="525"/>
      <c r="Q671" s="525"/>
      <c r="R671" s="526"/>
      <c r="S671" s="161"/>
      <c r="T671" s="524" t="s">
        <v>89</v>
      </c>
      <c r="U671" s="525"/>
      <c r="V671" s="525"/>
      <c r="W671" s="525"/>
      <c r="X671" s="525"/>
      <c r="Y671" s="526"/>
      <c r="Z671" s="156"/>
      <c r="AA671" s="158"/>
      <c r="AB671" s="158"/>
      <c r="AC671" s="158"/>
    </row>
    <row r="672" spans="1:29" ht="18" customHeight="1" x14ac:dyDescent="0.2">
      <c r="A672" s="163"/>
      <c r="B672" s="149"/>
      <c r="C672" s="535" t="s">
        <v>204</v>
      </c>
      <c r="D672" s="531"/>
      <c r="E672" s="531"/>
      <c r="F672" s="531"/>
      <c r="G672" s="164" t="str">
        <f>$J$1</f>
        <v>September</v>
      </c>
      <c r="H672" s="536">
        <f>$K$1</f>
        <v>2024</v>
      </c>
      <c r="I672" s="531"/>
      <c r="J672" s="149"/>
      <c r="K672" s="165"/>
      <c r="L672" s="166"/>
      <c r="M672" s="167"/>
      <c r="N672" s="168"/>
      <c r="O672" s="169" t="s">
        <v>91</v>
      </c>
      <c r="P672" s="169" t="s">
        <v>92</v>
      </c>
      <c r="Q672" s="169" t="s">
        <v>93</v>
      </c>
      <c r="R672" s="169" t="s">
        <v>94</v>
      </c>
      <c r="S672" s="170"/>
      <c r="T672" s="169" t="s">
        <v>91</v>
      </c>
      <c r="U672" s="169" t="s">
        <v>95</v>
      </c>
      <c r="V672" s="169" t="s">
        <v>9</v>
      </c>
      <c r="W672" s="169" t="s">
        <v>10</v>
      </c>
      <c r="X672" s="169" t="s">
        <v>11</v>
      </c>
      <c r="Y672" s="169" t="s">
        <v>96</v>
      </c>
      <c r="Z672" s="156"/>
      <c r="AA672" s="158"/>
      <c r="AB672" s="158"/>
      <c r="AC672" s="158"/>
    </row>
    <row r="673" spans="1:29" ht="18" customHeight="1" x14ac:dyDescent="0.2">
      <c r="A673" s="163"/>
      <c r="B673" s="149"/>
      <c r="C673" s="149"/>
      <c r="D673" s="172"/>
      <c r="E673" s="172"/>
      <c r="F673" s="172"/>
      <c r="G673" s="172"/>
      <c r="H673" s="172"/>
      <c r="I673" s="149"/>
      <c r="J673" s="173" t="s">
        <v>97</v>
      </c>
      <c r="K673" s="151">
        <v>60000</v>
      </c>
      <c r="L673" s="174"/>
      <c r="M673" s="158"/>
      <c r="N673" s="175"/>
      <c r="O673" s="176" t="s">
        <v>98</v>
      </c>
      <c r="P673" s="176">
        <v>31</v>
      </c>
      <c r="Q673" s="176">
        <v>0</v>
      </c>
      <c r="R673" s="176"/>
      <c r="S673" s="177"/>
      <c r="T673" s="176" t="s">
        <v>98</v>
      </c>
      <c r="U673" s="178"/>
      <c r="V673" s="178"/>
      <c r="W673" s="178">
        <f>V673+U673</f>
        <v>0</v>
      </c>
      <c r="X673" s="178"/>
      <c r="Y673" s="178">
        <f>W673-X673</f>
        <v>0</v>
      </c>
      <c r="Z673" s="156"/>
      <c r="AA673" s="158"/>
      <c r="AB673" s="158"/>
      <c r="AC673" s="158"/>
    </row>
    <row r="674" spans="1:29" ht="18" customHeight="1" x14ac:dyDescent="0.2">
      <c r="A674" s="163"/>
      <c r="B674" s="149" t="s">
        <v>99</v>
      </c>
      <c r="C674" s="148" t="s">
        <v>205</v>
      </c>
      <c r="D674" s="149"/>
      <c r="E674" s="149"/>
      <c r="F674" s="149"/>
      <c r="G674" s="149"/>
      <c r="H674" s="179"/>
      <c r="I674" s="172"/>
      <c r="J674" s="149"/>
      <c r="K674" s="149"/>
      <c r="L674" s="180"/>
      <c r="M674" s="159"/>
      <c r="N674" s="181"/>
      <c r="O674" s="176" t="s">
        <v>100</v>
      </c>
      <c r="P674" s="176">
        <v>28</v>
      </c>
      <c r="Q674" s="176">
        <v>1</v>
      </c>
      <c r="R674" s="176"/>
      <c r="S674" s="156"/>
      <c r="T674" s="176" t="s">
        <v>100</v>
      </c>
      <c r="U674" s="182">
        <f>IF($J$1="January","",Y673)</f>
        <v>0</v>
      </c>
      <c r="V674" s="178"/>
      <c r="W674" s="182">
        <f t="shared" ref="W674:W684" si="187">IF(U674="","",U674+V674)</f>
        <v>0</v>
      </c>
      <c r="X674" s="178"/>
      <c r="Y674" s="182">
        <f t="shared" ref="Y674:Y684" si="188">IF(W674="","",W674-X674)</f>
        <v>0</v>
      </c>
      <c r="Z674" s="156"/>
      <c r="AA674" s="158"/>
      <c r="AB674" s="158"/>
      <c r="AC674" s="158"/>
    </row>
    <row r="675" spans="1:29" ht="18" customHeight="1" x14ac:dyDescent="0.2">
      <c r="A675" s="163"/>
      <c r="B675" s="184" t="s">
        <v>101</v>
      </c>
      <c r="C675" s="210">
        <v>45267</v>
      </c>
      <c r="D675" s="149"/>
      <c r="E675" s="149"/>
      <c r="F675" s="529" t="s">
        <v>89</v>
      </c>
      <c r="G675" s="503"/>
      <c r="H675" s="149"/>
      <c r="I675" s="529" t="s">
        <v>102</v>
      </c>
      <c r="J675" s="502"/>
      <c r="K675" s="503"/>
      <c r="L675" s="186"/>
      <c r="M675" s="158"/>
      <c r="N675" s="175"/>
      <c r="O675" s="176" t="s">
        <v>103</v>
      </c>
      <c r="P675" s="176">
        <v>30</v>
      </c>
      <c r="Q675" s="176">
        <v>1</v>
      </c>
      <c r="R675" s="176">
        <v>0</v>
      </c>
      <c r="S675" s="156"/>
      <c r="T675" s="176" t="s">
        <v>103</v>
      </c>
      <c r="U675" s="182">
        <f>IF($J$1="February","",Y674)</f>
        <v>0</v>
      </c>
      <c r="V675" s="178"/>
      <c r="W675" s="182">
        <f t="shared" si="187"/>
        <v>0</v>
      </c>
      <c r="X675" s="178"/>
      <c r="Y675" s="182">
        <f t="shared" si="188"/>
        <v>0</v>
      </c>
      <c r="Z675" s="156"/>
      <c r="AA675" s="158"/>
      <c r="AB675" s="158"/>
      <c r="AC675" s="158"/>
    </row>
    <row r="676" spans="1:29" ht="18" customHeight="1" x14ac:dyDescent="0.2">
      <c r="A676" s="163"/>
      <c r="B676" s="149"/>
      <c r="C676" s="149"/>
      <c r="D676" s="149"/>
      <c r="E676" s="149"/>
      <c r="F676" s="149"/>
      <c r="G676" s="149"/>
      <c r="H676" s="187"/>
      <c r="I676" s="149"/>
      <c r="J676" s="149"/>
      <c r="K676" s="149"/>
      <c r="L676" s="188"/>
      <c r="M676" s="158"/>
      <c r="N676" s="175"/>
      <c r="O676" s="176" t="s">
        <v>104</v>
      </c>
      <c r="P676" s="176">
        <v>28</v>
      </c>
      <c r="Q676" s="176">
        <v>2</v>
      </c>
      <c r="R676" s="176">
        <v>0</v>
      </c>
      <c r="S676" s="156"/>
      <c r="T676" s="176" t="s">
        <v>104</v>
      </c>
      <c r="U676" s="182">
        <f>IF($J$1="March","",Y675)</f>
        <v>0</v>
      </c>
      <c r="V676" s="178"/>
      <c r="W676" s="182">
        <f t="shared" si="187"/>
        <v>0</v>
      </c>
      <c r="X676" s="178"/>
      <c r="Y676" s="182">
        <f t="shared" si="188"/>
        <v>0</v>
      </c>
      <c r="Z676" s="156"/>
      <c r="AA676" s="158"/>
      <c r="AB676" s="158"/>
      <c r="AC676" s="158"/>
    </row>
    <row r="677" spans="1:29" ht="18" customHeight="1" x14ac:dyDescent="0.2">
      <c r="A677" s="163"/>
      <c r="B677" s="527" t="s">
        <v>88</v>
      </c>
      <c r="C677" s="503"/>
      <c r="D677" s="149"/>
      <c r="E677" s="149"/>
      <c r="F677" s="189" t="s">
        <v>105</v>
      </c>
      <c r="G677" s="190">
        <f>IF($J$1="January",U673,IF($J$1="February",U674,IF($J$1="March",U675,IF($J$1="April",U676,IF($J$1="May",U677,IF($J$1="June",U678,IF($J$1="July",U679,IF($J$1="August",U680,IF($J$1="August",U680,IF($J$1="September",U681,IF($J$1="October",U682,IF($J$1="November",U683,IF($J$1="December",U684)))))))))))))</f>
        <v>10000</v>
      </c>
      <c r="H677" s="187"/>
      <c r="I677" s="191">
        <f>IF(C681&gt;0,$K$2,C679)</f>
        <v>28</v>
      </c>
      <c r="J677" s="192" t="s">
        <v>106</v>
      </c>
      <c r="K677" s="193">
        <f>K673/$K$2*I677</f>
        <v>56000</v>
      </c>
      <c r="L677" s="194"/>
      <c r="M677" s="158"/>
      <c r="N677" s="175"/>
      <c r="O677" s="176" t="s">
        <v>107</v>
      </c>
      <c r="P677" s="176">
        <v>30</v>
      </c>
      <c r="Q677" s="176">
        <v>1</v>
      </c>
      <c r="R677" s="176">
        <v>0</v>
      </c>
      <c r="S677" s="156"/>
      <c r="T677" s="176" t="s">
        <v>107</v>
      </c>
      <c r="U677" s="182">
        <f>IF($J$1="April","",Y676)</f>
        <v>0</v>
      </c>
      <c r="V677" s="178"/>
      <c r="W677" s="182">
        <f t="shared" si="187"/>
        <v>0</v>
      </c>
      <c r="X677" s="178"/>
      <c r="Y677" s="182">
        <f t="shared" si="188"/>
        <v>0</v>
      </c>
      <c r="Z677" s="156"/>
      <c r="AA677" s="158"/>
      <c r="AB677" s="158"/>
      <c r="AC677" s="158"/>
    </row>
    <row r="678" spans="1:29" ht="18" customHeight="1" x14ac:dyDescent="0.2">
      <c r="A678" s="163"/>
      <c r="B678" s="195"/>
      <c r="C678" s="195"/>
      <c r="D678" s="149"/>
      <c r="E678" s="149"/>
      <c r="F678" s="189" t="s">
        <v>9</v>
      </c>
      <c r="G678" s="190">
        <f>IF($J$1="January",V673,IF($J$1="February",V674,IF($J$1="March",V675,IF($J$1="April",V676,IF($J$1="May",V677,IF($J$1="June",V678,IF($J$1="July",V679,IF($J$1="August",V680,IF($J$1="August",V680,IF($J$1="September",V681,IF($J$1="October",V682,IF($J$1="November",V683,IF($J$1="December",V684)))))))))))))</f>
        <v>0</v>
      </c>
      <c r="H678" s="187"/>
      <c r="I678" s="224"/>
      <c r="J678" s="192" t="s">
        <v>108</v>
      </c>
      <c r="K678" s="190">
        <f>K673/$K$2/8*I678</f>
        <v>0</v>
      </c>
      <c r="L678" s="196"/>
      <c r="M678" s="158"/>
      <c r="N678" s="175"/>
      <c r="O678" s="176" t="s">
        <v>84</v>
      </c>
      <c r="P678" s="176">
        <v>29</v>
      </c>
      <c r="Q678" s="176">
        <v>1</v>
      </c>
      <c r="R678" s="176">
        <v>0</v>
      </c>
      <c r="S678" s="156"/>
      <c r="T678" s="176" t="s">
        <v>84</v>
      </c>
      <c r="U678" s="182">
        <f>IF($J$1="May","",Y677)</f>
        <v>0</v>
      </c>
      <c r="V678" s="178"/>
      <c r="W678" s="182">
        <f t="shared" si="187"/>
        <v>0</v>
      </c>
      <c r="X678" s="178"/>
      <c r="Y678" s="182">
        <f t="shared" si="188"/>
        <v>0</v>
      </c>
      <c r="Z678" s="156"/>
      <c r="AA678" s="158"/>
      <c r="AB678" s="158"/>
      <c r="AC678" s="158"/>
    </row>
    <row r="679" spans="1:29" ht="18" customHeight="1" x14ac:dyDescent="0.2">
      <c r="A679" s="163"/>
      <c r="B679" s="189" t="s">
        <v>92</v>
      </c>
      <c r="C679" s="195">
        <f>IF($J$1="January",P673,IF($J$1="February",P674,IF($J$1="March",P675,IF($J$1="April",P676,IF($J$1="May",P677,IF($J$1="June",P678,IF($J$1="July",P679,IF($J$1="August",P680,IF($J$1="August",P680,IF($J$1="September",P681,IF($J$1="October",P682,IF($J$1="November",P683,IF($J$1="December",P684)))))))))))))</f>
        <v>28</v>
      </c>
      <c r="D679" s="149"/>
      <c r="E679" s="149"/>
      <c r="F679" s="189" t="s">
        <v>109</v>
      </c>
      <c r="G679" s="190">
        <f>IF($J$1="January",W673,IF($J$1="February",W674,IF($J$1="March",W675,IF($J$1="April",W676,IF($J$1="May",W677,IF($J$1="June",W678,IF($J$1="July",W679,IF($J$1="August",W680,IF($J$1="August",W680,IF($J$1="September",W681,IF($J$1="October",W682,IF($J$1="November",W683,IF($J$1="December",W684)))))))))))))</f>
        <v>10000</v>
      </c>
      <c r="H679" s="187"/>
      <c r="I679" s="528" t="s">
        <v>110</v>
      </c>
      <c r="J679" s="503"/>
      <c r="K679" s="190">
        <f>K677+K678</f>
        <v>56000</v>
      </c>
      <c r="L679" s="196"/>
      <c r="M679" s="158"/>
      <c r="N679" s="175"/>
      <c r="O679" s="176" t="s">
        <v>111</v>
      </c>
      <c r="P679" s="176">
        <v>29</v>
      </c>
      <c r="Q679" s="176">
        <v>2</v>
      </c>
      <c r="R679" s="176">
        <v>0</v>
      </c>
      <c r="S679" s="156"/>
      <c r="T679" s="176" t="s">
        <v>111</v>
      </c>
      <c r="U679" s="182">
        <f>IF($J$1="June","",Y678)</f>
        <v>0</v>
      </c>
      <c r="V679" s="178"/>
      <c r="W679" s="182">
        <f t="shared" si="187"/>
        <v>0</v>
      </c>
      <c r="X679" s="178"/>
      <c r="Y679" s="182">
        <f t="shared" si="188"/>
        <v>0</v>
      </c>
      <c r="Z679" s="156"/>
      <c r="AA679" s="158"/>
      <c r="AB679" s="158"/>
      <c r="AC679" s="158"/>
    </row>
    <row r="680" spans="1:29" ht="18" customHeight="1" x14ac:dyDescent="0.2">
      <c r="A680" s="163"/>
      <c r="B680" s="189" t="s">
        <v>93</v>
      </c>
      <c r="C680" s="195">
        <f>IF($J$1="January",Q673,IF($J$1="February",Q674,IF($J$1="March",Q675,IF($J$1="April",Q676,IF($J$1="May",Q677,IF($J$1="June",Q678,IF($J$1="July",Q679,IF($J$1="August",Q680,IF($J$1="August",Q680,IF($J$1="September",Q681,IF($J$1="October",Q682,IF($J$1="November",Q683,IF($J$1="December",Q684)))))))))))))</f>
        <v>2</v>
      </c>
      <c r="D680" s="149"/>
      <c r="E680" s="149"/>
      <c r="F680" s="189" t="s">
        <v>11</v>
      </c>
      <c r="G680" s="190">
        <f>IF($J$1="January",X673,IF($J$1="February",X674,IF($J$1="March",X675,IF($J$1="April",X676,IF($J$1="May",X677,IF($J$1="June",X678,IF($J$1="July",X679,IF($J$1="August",X680,IF($J$1="August",X680,IF($J$1="September",X681,IF($J$1="October",X682,IF($J$1="November",X683,IF($J$1="December",X684)))))))))))))</f>
        <v>5000</v>
      </c>
      <c r="H680" s="187"/>
      <c r="I680" s="528" t="s">
        <v>112</v>
      </c>
      <c r="J680" s="503"/>
      <c r="K680" s="190">
        <f>G680</f>
        <v>5000</v>
      </c>
      <c r="L680" s="196"/>
      <c r="M680" s="158"/>
      <c r="N680" s="175"/>
      <c r="O680" s="176" t="s">
        <v>113</v>
      </c>
      <c r="P680" s="176">
        <v>29</v>
      </c>
      <c r="Q680" s="176">
        <v>2</v>
      </c>
      <c r="R680" s="176">
        <v>0</v>
      </c>
      <c r="S680" s="156"/>
      <c r="T680" s="176" t="s">
        <v>113</v>
      </c>
      <c r="U680" s="182">
        <f>Y679</f>
        <v>0</v>
      </c>
      <c r="V680" s="178">
        <v>10000</v>
      </c>
      <c r="W680" s="182">
        <f t="shared" si="187"/>
        <v>10000</v>
      </c>
      <c r="X680" s="178"/>
      <c r="Y680" s="182">
        <f t="shared" si="188"/>
        <v>10000</v>
      </c>
      <c r="Z680" s="156"/>
      <c r="AA680" s="158"/>
      <c r="AB680" s="158"/>
      <c r="AC680" s="158"/>
    </row>
    <row r="681" spans="1:29" ht="18" customHeight="1" x14ac:dyDescent="0.2">
      <c r="A681" s="163"/>
      <c r="B681" s="204" t="s">
        <v>114</v>
      </c>
      <c r="C681" s="195">
        <f>IF($J$1="January",R673,IF($J$1="February",R674,IF($J$1="March",R675,IF($J$1="April",R676,IF($J$1="May",R677,IF($J$1="June",R678,IF($J$1="July",R679,IF($J$1="August",R680,IF($J$1="August",R680,IF($J$1="September",R681,IF($J$1="October",R682,IF($J$1="November",R683,IF($J$1="December",R684)))))))))))))</f>
        <v>0</v>
      </c>
      <c r="D681" s="149"/>
      <c r="E681" s="149"/>
      <c r="F681" s="204" t="s">
        <v>115</v>
      </c>
      <c r="G681" s="190">
        <f>IF($J$1="January",Y673,IF($J$1="February",Y674,IF($J$1="March",Y675,IF($J$1="April",Y676,IF($J$1="May",Y677,IF($J$1="June",Y678,IF($J$1="July",Y679,IF($J$1="August",Y680,IF($J$1="August",Y680,IF($J$1="September",Y681,IF($J$1="October",Y682,IF($J$1="November",Y683,IF($J$1="December",Y684)))))))))))))</f>
        <v>5000</v>
      </c>
      <c r="H681" s="149"/>
      <c r="I681" s="529" t="s">
        <v>13</v>
      </c>
      <c r="J681" s="503"/>
      <c r="K681" s="37">
        <f>K679-K680</f>
        <v>51000</v>
      </c>
      <c r="L681" s="180"/>
      <c r="M681" s="158"/>
      <c r="N681" s="175"/>
      <c r="O681" s="176" t="s">
        <v>116</v>
      </c>
      <c r="P681" s="176">
        <v>28</v>
      </c>
      <c r="Q681" s="176">
        <v>2</v>
      </c>
      <c r="R681" s="176">
        <v>0</v>
      </c>
      <c r="S681" s="156"/>
      <c r="T681" s="176" t="s">
        <v>116</v>
      </c>
      <c r="U681" s="182">
        <f>Y680</f>
        <v>10000</v>
      </c>
      <c r="V681" s="178"/>
      <c r="W681" s="182">
        <f t="shared" si="187"/>
        <v>10000</v>
      </c>
      <c r="X681" s="178">
        <v>5000</v>
      </c>
      <c r="Y681" s="182">
        <f t="shared" si="188"/>
        <v>5000</v>
      </c>
      <c r="Z681" s="183"/>
      <c r="AA681" s="158"/>
      <c r="AB681" s="158"/>
      <c r="AC681" s="158"/>
    </row>
    <row r="682" spans="1:29" ht="18" customHeight="1" x14ac:dyDescent="0.2">
      <c r="A682" s="163"/>
      <c r="B682" s="149"/>
      <c r="C682" s="149"/>
      <c r="D682" s="149"/>
      <c r="E682" s="149"/>
      <c r="F682" s="149"/>
      <c r="G682" s="149"/>
      <c r="H682" s="149"/>
      <c r="I682" s="530"/>
      <c r="J682" s="531"/>
      <c r="K682" s="151"/>
      <c r="L682" s="186"/>
      <c r="M682" s="158"/>
      <c r="N682" s="175"/>
      <c r="O682" s="176" t="s">
        <v>117</v>
      </c>
      <c r="P682" s="176"/>
      <c r="Q682" s="176"/>
      <c r="R682" s="176">
        <v>0</v>
      </c>
      <c r="S682" s="156"/>
      <c r="T682" s="176" t="s">
        <v>117</v>
      </c>
      <c r="U682" s="182" t="str">
        <f>IF($J$1="October",Y681,"")</f>
        <v/>
      </c>
      <c r="V682" s="178"/>
      <c r="W682" s="182" t="str">
        <f t="shared" si="187"/>
        <v/>
      </c>
      <c r="X682" s="178"/>
      <c r="Y682" s="182" t="str">
        <f t="shared" si="188"/>
        <v/>
      </c>
      <c r="Z682" s="183"/>
      <c r="AA682" s="158"/>
      <c r="AB682" s="158"/>
      <c r="AC682" s="158"/>
    </row>
    <row r="683" spans="1:29" ht="18" customHeight="1" x14ac:dyDescent="0.3">
      <c r="A683" s="163"/>
      <c r="B683" s="147"/>
      <c r="C683" s="147"/>
      <c r="D683" s="147"/>
      <c r="E683" s="147"/>
      <c r="F683" s="225"/>
      <c r="G683" s="225"/>
      <c r="H683" s="225"/>
      <c r="I683" s="530"/>
      <c r="J683" s="531"/>
      <c r="K683" s="151"/>
      <c r="L683" s="186"/>
      <c r="M683" s="158"/>
      <c r="N683" s="175"/>
      <c r="O683" s="176" t="s">
        <v>118</v>
      </c>
      <c r="P683" s="176"/>
      <c r="Q683" s="176"/>
      <c r="R683" s="176" t="str">
        <f>IF(Q683="","",R682-Q683)</f>
        <v/>
      </c>
      <c r="S683" s="156"/>
      <c r="T683" s="176" t="s">
        <v>118</v>
      </c>
      <c r="U683" s="182" t="str">
        <f>Y682</f>
        <v/>
      </c>
      <c r="V683" s="178"/>
      <c r="W683" s="182" t="str">
        <f t="shared" si="187"/>
        <v/>
      </c>
      <c r="X683" s="178"/>
      <c r="Y683" s="182" t="str">
        <f t="shared" si="188"/>
        <v/>
      </c>
      <c r="Z683" s="156"/>
      <c r="AA683" s="158"/>
      <c r="AB683" s="158"/>
      <c r="AC683" s="158"/>
    </row>
    <row r="684" spans="1:29" ht="18" customHeight="1" thickBot="1" x14ac:dyDescent="0.35">
      <c r="A684" s="197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9"/>
      <c r="M684" s="158"/>
      <c r="N684" s="175"/>
      <c r="O684" s="176" t="s">
        <v>119</v>
      </c>
      <c r="P684" s="205"/>
      <c r="Q684" s="205"/>
      <c r="R684" s="176">
        <v>0</v>
      </c>
      <c r="S684" s="156"/>
      <c r="T684" s="176" t="s">
        <v>119</v>
      </c>
      <c r="U684" s="182">
        <v>0</v>
      </c>
      <c r="V684" s="178"/>
      <c r="W684" s="182">
        <f t="shared" si="187"/>
        <v>0</v>
      </c>
      <c r="X684" s="178"/>
      <c r="Y684" s="182">
        <f t="shared" si="188"/>
        <v>0</v>
      </c>
      <c r="Z684" s="156"/>
      <c r="AA684" s="158"/>
      <c r="AB684" s="158"/>
      <c r="AC684" s="158"/>
    </row>
    <row r="685" spans="1:29" ht="18" customHeight="1" thickBot="1" x14ac:dyDescent="0.35">
      <c r="A685" s="163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86"/>
      <c r="M685" s="158"/>
      <c r="N685" s="175"/>
      <c r="O685" s="226"/>
      <c r="P685" s="202"/>
      <c r="Q685" s="202"/>
      <c r="R685" s="227"/>
      <c r="S685" s="156"/>
      <c r="T685" s="226"/>
      <c r="U685" s="228"/>
      <c r="V685" s="229"/>
      <c r="W685" s="228"/>
      <c r="X685" s="229"/>
      <c r="Y685" s="230"/>
      <c r="Z685" s="156"/>
      <c r="AA685" s="158"/>
      <c r="AB685" s="158"/>
      <c r="AC685" s="158"/>
    </row>
    <row r="686" spans="1:29" ht="18" customHeight="1" x14ac:dyDescent="0.2">
      <c r="A686" s="564" t="s">
        <v>87</v>
      </c>
      <c r="B686" s="538"/>
      <c r="C686" s="538"/>
      <c r="D686" s="538"/>
      <c r="E686" s="538"/>
      <c r="F686" s="538"/>
      <c r="G686" s="538"/>
      <c r="H686" s="538"/>
      <c r="I686" s="538"/>
      <c r="J686" s="538"/>
      <c r="K686" s="538"/>
      <c r="L686" s="539"/>
      <c r="M686" s="159"/>
      <c r="N686" s="160"/>
      <c r="O686" s="524" t="s">
        <v>88</v>
      </c>
      <c r="P686" s="525"/>
      <c r="Q686" s="525"/>
      <c r="R686" s="526"/>
      <c r="S686" s="161"/>
      <c r="T686" s="524" t="s">
        <v>89</v>
      </c>
      <c r="U686" s="525"/>
      <c r="V686" s="525"/>
      <c r="W686" s="525"/>
      <c r="X686" s="525"/>
      <c r="Y686" s="526"/>
      <c r="Z686" s="162"/>
      <c r="AA686" s="159"/>
      <c r="AB686" s="158"/>
      <c r="AC686" s="158"/>
    </row>
    <row r="687" spans="1:29" ht="18" customHeight="1" x14ac:dyDescent="0.2">
      <c r="A687" s="163"/>
      <c r="B687" s="149"/>
      <c r="C687" s="535" t="s">
        <v>206</v>
      </c>
      <c r="D687" s="531"/>
      <c r="E687" s="531"/>
      <c r="F687" s="531"/>
      <c r="G687" s="164" t="str">
        <f>$J$1</f>
        <v>September</v>
      </c>
      <c r="H687" s="536">
        <f>$K$1</f>
        <v>2024</v>
      </c>
      <c r="I687" s="531"/>
      <c r="J687" s="149"/>
      <c r="K687" s="165"/>
      <c r="L687" s="166"/>
      <c r="M687" s="167"/>
      <c r="N687" s="168"/>
      <c r="O687" s="169" t="s">
        <v>91</v>
      </c>
      <c r="P687" s="169" t="s">
        <v>92</v>
      </c>
      <c r="Q687" s="169" t="s">
        <v>93</v>
      </c>
      <c r="R687" s="169" t="s">
        <v>94</v>
      </c>
      <c r="S687" s="170"/>
      <c r="T687" s="169" t="s">
        <v>91</v>
      </c>
      <c r="U687" s="169" t="s">
        <v>95</v>
      </c>
      <c r="V687" s="169" t="s">
        <v>9</v>
      </c>
      <c r="W687" s="169" t="s">
        <v>10</v>
      </c>
      <c r="X687" s="169" t="s">
        <v>11</v>
      </c>
      <c r="Y687" s="169" t="s">
        <v>96</v>
      </c>
      <c r="Z687" s="171"/>
      <c r="AA687" s="167"/>
      <c r="AB687" s="158"/>
      <c r="AC687" s="158"/>
    </row>
    <row r="688" spans="1:29" ht="18" customHeight="1" x14ac:dyDescent="0.2">
      <c r="A688" s="163"/>
      <c r="B688" s="149"/>
      <c r="C688" s="149"/>
      <c r="D688" s="172"/>
      <c r="E688" s="172"/>
      <c r="F688" s="172"/>
      <c r="G688" s="172"/>
      <c r="H688" s="172"/>
      <c r="I688" s="149"/>
      <c r="J688" s="173" t="s">
        <v>97</v>
      </c>
      <c r="K688" s="151">
        <v>70000</v>
      </c>
      <c r="L688" s="174"/>
      <c r="M688" s="158"/>
      <c r="N688" s="175"/>
      <c r="O688" s="176" t="s">
        <v>98</v>
      </c>
      <c r="P688" s="176">
        <v>30</v>
      </c>
      <c r="Q688" s="176">
        <v>1</v>
      </c>
      <c r="R688" s="176"/>
      <c r="S688" s="177"/>
      <c r="T688" s="176" t="s">
        <v>98</v>
      </c>
      <c r="U688" s="178">
        <v>80000</v>
      </c>
      <c r="V688" s="178"/>
      <c r="W688" s="178">
        <f>V688+U688</f>
        <v>80000</v>
      </c>
      <c r="X688" s="178">
        <v>5000</v>
      </c>
      <c r="Y688" s="178">
        <f>W688-X688</f>
        <v>75000</v>
      </c>
      <c r="Z688" s="171"/>
      <c r="AA688" s="158"/>
      <c r="AB688" s="158"/>
      <c r="AC688" s="158"/>
    </row>
    <row r="689" spans="1:29" ht="18" customHeight="1" x14ac:dyDescent="0.2">
      <c r="A689" s="163"/>
      <c r="B689" s="149" t="s">
        <v>99</v>
      </c>
      <c r="C689" s="148" t="s">
        <v>207</v>
      </c>
      <c r="D689" s="149"/>
      <c r="E689" s="149"/>
      <c r="F689" s="149"/>
      <c r="G689" s="149"/>
      <c r="H689" s="179"/>
      <c r="I689" s="172"/>
      <c r="J689" s="149"/>
      <c r="K689" s="149"/>
      <c r="L689" s="180"/>
      <c r="M689" s="159"/>
      <c r="N689" s="181"/>
      <c r="O689" s="176" t="s">
        <v>100</v>
      </c>
      <c r="P689" s="176"/>
      <c r="Q689" s="176"/>
      <c r="R689" s="176" t="str">
        <f>IF(Q689="","",R688-Q689)</f>
        <v/>
      </c>
      <c r="S689" s="156"/>
      <c r="T689" s="176" t="s">
        <v>100</v>
      </c>
      <c r="U689" s="182">
        <f t="shared" ref="U689:U690" si="189">Y688</f>
        <v>75000</v>
      </c>
      <c r="V689" s="178"/>
      <c r="W689" s="182">
        <f t="shared" ref="W689:W699" si="190">IF(U689="","",U689+V689)</f>
        <v>75000</v>
      </c>
      <c r="X689" s="178"/>
      <c r="Y689" s="182">
        <f t="shared" ref="Y689:Y699" si="191">IF(W689="","",W689-X689)</f>
        <v>75000</v>
      </c>
      <c r="Z689" s="183"/>
      <c r="AA689" s="159"/>
      <c r="AB689" s="158"/>
      <c r="AC689" s="158"/>
    </row>
    <row r="690" spans="1:29" ht="18" customHeight="1" x14ac:dyDescent="0.2">
      <c r="A690" s="163"/>
      <c r="B690" s="184" t="s">
        <v>101</v>
      </c>
      <c r="C690" s="185"/>
      <c r="D690" s="149"/>
      <c r="E690" s="149"/>
      <c r="F690" s="529" t="s">
        <v>89</v>
      </c>
      <c r="G690" s="503"/>
      <c r="H690" s="149"/>
      <c r="I690" s="529" t="s">
        <v>102</v>
      </c>
      <c r="J690" s="502"/>
      <c r="K690" s="503"/>
      <c r="L690" s="186"/>
      <c r="M690" s="158"/>
      <c r="N690" s="175"/>
      <c r="O690" s="176" t="s">
        <v>103</v>
      </c>
      <c r="P690" s="176">
        <v>31</v>
      </c>
      <c r="Q690" s="176">
        <v>0</v>
      </c>
      <c r="R690" s="176">
        <v>0</v>
      </c>
      <c r="S690" s="156"/>
      <c r="T690" s="176" t="s">
        <v>103</v>
      </c>
      <c r="U690" s="182">
        <f t="shared" si="189"/>
        <v>75000</v>
      </c>
      <c r="V690" s="178"/>
      <c r="W690" s="182">
        <f t="shared" si="190"/>
        <v>75000</v>
      </c>
      <c r="X690" s="178">
        <v>5000</v>
      </c>
      <c r="Y690" s="182">
        <f t="shared" si="191"/>
        <v>70000</v>
      </c>
      <c r="Z690" s="183"/>
      <c r="AA690" s="158"/>
      <c r="AB690" s="158"/>
      <c r="AC690" s="158"/>
    </row>
    <row r="691" spans="1:29" ht="18" customHeight="1" x14ac:dyDescent="0.2">
      <c r="A691" s="163"/>
      <c r="B691" s="149"/>
      <c r="C691" s="149"/>
      <c r="D691" s="149"/>
      <c r="E691" s="149"/>
      <c r="F691" s="149"/>
      <c r="G691" s="149"/>
      <c r="H691" s="187"/>
      <c r="I691" s="149"/>
      <c r="J691" s="149"/>
      <c r="K691" s="149"/>
      <c r="L691" s="188"/>
      <c r="M691" s="158"/>
      <c r="N691" s="175"/>
      <c r="O691" s="176" t="s">
        <v>104</v>
      </c>
      <c r="P691" s="176">
        <v>30</v>
      </c>
      <c r="Q691" s="176">
        <v>0</v>
      </c>
      <c r="R691" s="176">
        <v>0</v>
      </c>
      <c r="S691" s="156"/>
      <c r="T691" s="176" t="s">
        <v>104</v>
      </c>
      <c r="U691" s="182">
        <f>IF($J$1="March","",Y690)</f>
        <v>70000</v>
      </c>
      <c r="V691" s="178"/>
      <c r="W691" s="182">
        <f t="shared" si="190"/>
        <v>70000</v>
      </c>
      <c r="X691" s="178">
        <v>5000</v>
      </c>
      <c r="Y691" s="182">
        <f t="shared" si="191"/>
        <v>65000</v>
      </c>
      <c r="Z691" s="183"/>
      <c r="AA691" s="158"/>
      <c r="AB691" s="158"/>
      <c r="AC691" s="158"/>
    </row>
    <row r="692" spans="1:29" ht="18" customHeight="1" x14ac:dyDescent="0.2">
      <c r="A692" s="163"/>
      <c r="B692" s="527" t="s">
        <v>88</v>
      </c>
      <c r="C692" s="503"/>
      <c r="D692" s="149"/>
      <c r="E692" s="149"/>
      <c r="F692" s="189" t="s">
        <v>105</v>
      </c>
      <c r="G692" s="190">
        <f>IF($J$1="January",U688,IF($J$1="February",U689,IF($J$1="March",U690,IF($J$1="April",U691,IF($J$1="May",U692,IF($J$1="June",U693,IF($J$1="July",U694,IF($J$1="August",U695,IF($J$1="August",U695,IF($J$1="September",U696,IF($J$1="October",U697,IF($J$1="November",U698,IF($J$1="December",U699)))))))))))))</f>
        <v>0</v>
      </c>
      <c r="H692" s="187"/>
      <c r="I692" s="191">
        <f>IF(C696&gt;0,$K$2,C694)</f>
        <v>30</v>
      </c>
      <c r="J692" s="192" t="s">
        <v>106</v>
      </c>
      <c r="K692" s="193">
        <f>K688/$K$2*I692</f>
        <v>70000</v>
      </c>
      <c r="L692" s="194"/>
      <c r="M692" s="158"/>
      <c r="N692" s="175"/>
      <c r="O692" s="176" t="s">
        <v>107</v>
      </c>
      <c r="P692" s="176">
        <v>31</v>
      </c>
      <c r="Q692" s="176">
        <v>0</v>
      </c>
      <c r="R692" s="176">
        <v>0</v>
      </c>
      <c r="S692" s="156"/>
      <c r="T692" s="176" t="s">
        <v>107</v>
      </c>
      <c r="U692" s="182">
        <f>Y691-65000</f>
        <v>0</v>
      </c>
      <c r="V692" s="178"/>
      <c r="W692" s="182">
        <f t="shared" si="190"/>
        <v>0</v>
      </c>
      <c r="X692" s="178"/>
      <c r="Y692" s="182">
        <f t="shared" si="191"/>
        <v>0</v>
      </c>
      <c r="Z692" s="183"/>
      <c r="AA692" s="158" t="s">
        <v>208</v>
      </c>
      <c r="AB692" s="158"/>
      <c r="AC692" s="158"/>
    </row>
    <row r="693" spans="1:29" ht="18" customHeight="1" x14ac:dyDescent="0.2">
      <c r="A693" s="163"/>
      <c r="B693" s="195"/>
      <c r="C693" s="195"/>
      <c r="D693" s="149"/>
      <c r="E693" s="149"/>
      <c r="F693" s="189" t="s">
        <v>9</v>
      </c>
      <c r="G693" s="190">
        <f>IF($J$1="January",V688,IF($J$1="February",V689,IF($J$1="March",V690,IF($J$1="April",V691,IF($J$1="May",V692,IF($J$1="June",V693,IF($J$1="July",V694,IF($J$1="August",V695,IF($J$1="August",V695,IF($J$1="September",V696,IF($J$1="October",V697,IF($J$1="November",V698,IF($J$1="December",V699)))))))))))))</f>
        <v>0</v>
      </c>
      <c r="H693" s="187"/>
      <c r="I693" s="211"/>
      <c r="J693" s="192" t="s">
        <v>108</v>
      </c>
      <c r="K693" s="190">
        <f>K688/$K$2/8*I693</f>
        <v>0</v>
      </c>
      <c r="L693" s="196"/>
      <c r="M693" s="158"/>
      <c r="N693" s="175"/>
      <c r="O693" s="176" t="s">
        <v>84</v>
      </c>
      <c r="P693" s="176">
        <v>30</v>
      </c>
      <c r="Q693" s="176">
        <v>0</v>
      </c>
      <c r="R693" s="176">
        <f>IF(Q693="","",R692-Q693)</f>
        <v>0</v>
      </c>
      <c r="S693" s="156"/>
      <c r="T693" s="176" t="s">
        <v>84</v>
      </c>
      <c r="U693" s="182">
        <v>0</v>
      </c>
      <c r="V693" s="178"/>
      <c r="W693" s="182">
        <f t="shared" si="190"/>
        <v>0</v>
      </c>
      <c r="X693" s="178"/>
      <c r="Y693" s="182">
        <f t="shared" si="191"/>
        <v>0</v>
      </c>
      <c r="Z693" s="183"/>
      <c r="AA693" s="158"/>
      <c r="AB693" s="158"/>
      <c r="AC693" s="158"/>
    </row>
    <row r="694" spans="1:29" ht="18" customHeight="1" x14ac:dyDescent="0.2">
      <c r="A694" s="163"/>
      <c r="B694" s="189" t="s">
        <v>92</v>
      </c>
      <c r="C694" s="195">
        <f>IF($J$1="January",P688,IF($J$1="February",P689,IF($J$1="March",P690,IF($J$1="April",P691,IF($J$1="May",P692,IF($J$1="June",P693,IF($J$1="July",P694,IF($J$1="August",P695,IF($J$1="August",P695,IF($J$1="September",P696,IF($J$1="October",P697,IF($J$1="November",P698,IF($J$1="December",P699)))))))))))))</f>
        <v>30</v>
      </c>
      <c r="D694" s="149"/>
      <c r="E694" s="149"/>
      <c r="F694" s="189" t="s">
        <v>109</v>
      </c>
      <c r="G694" s="190">
        <f>IF($J$1="January",W688,IF($J$1="February",W689,IF($J$1="March",W690,IF($J$1="April",W691,IF($J$1="May",W692,IF($J$1="June",W693,IF($J$1="July",W694,IF($J$1="August",W695,IF($J$1="August",W695,IF($J$1="September",W696,IF($J$1="October",W697,IF($J$1="November",W698,IF($J$1="December",W699)))))))))))))</f>
        <v>0</v>
      </c>
      <c r="H694" s="187"/>
      <c r="I694" s="528" t="s">
        <v>110</v>
      </c>
      <c r="J694" s="503"/>
      <c r="K694" s="190">
        <f>K692+K693</f>
        <v>70000</v>
      </c>
      <c r="L694" s="196"/>
      <c r="M694" s="158"/>
      <c r="N694" s="175"/>
      <c r="O694" s="176" t="s">
        <v>111</v>
      </c>
      <c r="P694" s="176">
        <v>31</v>
      </c>
      <c r="Q694" s="176">
        <v>0</v>
      </c>
      <c r="R694" s="176">
        <v>0</v>
      </c>
      <c r="S694" s="156"/>
      <c r="T694" s="176" t="s">
        <v>111</v>
      </c>
      <c r="U694" s="182">
        <f>IF($J$1="June","",Y693)</f>
        <v>0</v>
      </c>
      <c r="V694" s="178"/>
      <c r="W694" s="182">
        <f t="shared" si="190"/>
        <v>0</v>
      </c>
      <c r="X694" s="178"/>
      <c r="Y694" s="182">
        <f t="shared" si="191"/>
        <v>0</v>
      </c>
      <c r="Z694" s="183"/>
      <c r="AA694" s="158"/>
      <c r="AB694" s="158"/>
      <c r="AC694" s="158"/>
    </row>
    <row r="695" spans="1:29" ht="18" customHeight="1" x14ac:dyDescent="0.2">
      <c r="A695" s="163"/>
      <c r="B695" s="189" t="s">
        <v>93</v>
      </c>
      <c r="C695" s="195">
        <f>IF($J$1="January",Q688,IF($J$1="February",Q689,IF($J$1="March",Q690,IF($J$1="April",Q691,IF($J$1="May",Q692,IF($J$1="June",Q693,IF($J$1="July",Q694,IF($J$1="August",Q695,IF($J$1="August",Q695,IF($J$1="September",Q696,IF($J$1="October",Q697,IF($J$1="November",Q698,IF($J$1="December",Q699)))))))))))))</f>
        <v>0</v>
      </c>
      <c r="D695" s="149"/>
      <c r="E695" s="149"/>
      <c r="F695" s="189" t="s">
        <v>11</v>
      </c>
      <c r="G695" s="190">
        <f>IF($J$1="January",X688,IF($J$1="February",X689,IF($J$1="March",X690,IF($J$1="April",X691,IF($J$1="May",X692,IF($J$1="June",X693,IF($J$1="July",X694,IF($J$1="August",X695,IF($J$1="August",X695,IF($J$1="September",X696,IF($J$1="October",X697,IF($J$1="November",X698,IF($J$1="December",X699)))))))))))))</f>
        <v>0</v>
      </c>
      <c r="H695" s="187"/>
      <c r="I695" s="528" t="s">
        <v>112</v>
      </c>
      <c r="J695" s="503"/>
      <c r="K695" s="190">
        <f>G695</f>
        <v>0</v>
      </c>
      <c r="L695" s="196"/>
      <c r="M695" s="158"/>
      <c r="N695" s="175"/>
      <c r="O695" s="176" t="s">
        <v>113</v>
      </c>
      <c r="P695" s="176">
        <v>31</v>
      </c>
      <c r="Q695" s="176"/>
      <c r="R695" s="176">
        <v>0</v>
      </c>
      <c r="S695" s="156"/>
      <c r="T695" s="176" t="s">
        <v>113</v>
      </c>
      <c r="U695" s="182">
        <f>IF($J$1="July","",Y694)</f>
        <v>0</v>
      </c>
      <c r="V695" s="178"/>
      <c r="W695" s="182">
        <f t="shared" si="190"/>
        <v>0</v>
      </c>
      <c r="X695" s="178"/>
      <c r="Y695" s="182">
        <f t="shared" si="191"/>
        <v>0</v>
      </c>
      <c r="Z695" s="183"/>
      <c r="AA695" s="158"/>
      <c r="AB695" s="158"/>
      <c r="AC695" s="158"/>
    </row>
    <row r="696" spans="1:29" ht="18" customHeight="1" x14ac:dyDescent="0.2">
      <c r="A696" s="163"/>
      <c r="B696" s="212" t="s">
        <v>114</v>
      </c>
      <c r="C696" s="195">
        <f>IF($J$1="January",R688,IF($J$1="February",R689,IF($J$1="March",R690,IF($J$1="April",R691,IF($J$1="May",R692,IF($J$1="June",R693,IF($J$1="July",R694,IF($J$1="August",R695,IF($J$1="August",R695,IF($J$1="September",R696,IF($J$1="October",R697,IF($J$1="November",R698,IF($J$1="December",R699)))))))))))))</f>
        <v>0</v>
      </c>
      <c r="D696" s="149"/>
      <c r="E696" s="149"/>
      <c r="F696" s="189" t="s">
        <v>167</v>
      </c>
      <c r="G696" s="190">
        <f>IF($J$1="January",Y688,IF($J$1="February",Y689,IF($J$1="March",Y690,IF($J$1="April",Y691,IF($J$1="May",Y692,IF($J$1="June",Y693,IF($J$1="July",Y694,IF($J$1="August",Y695,IF($J$1="August",Y695,IF($J$1="September",Y696,IF($J$1="October",Y697,IF($J$1="November",Y698,IF($J$1="December",Y699)))))))))))))</f>
        <v>0</v>
      </c>
      <c r="H696" s="149"/>
      <c r="I696" s="529" t="s">
        <v>13</v>
      </c>
      <c r="J696" s="503"/>
      <c r="K696" s="37">
        <f>K694-K695</f>
        <v>70000</v>
      </c>
      <c r="L696" s="180"/>
      <c r="M696" s="158"/>
      <c r="N696" s="175"/>
      <c r="O696" s="176" t="s">
        <v>116</v>
      </c>
      <c r="P696" s="205">
        <v>30</v>
      </c>
      <c r="Q696" s="205">
        <v>0</v>
      </c>
      <c r="R696" s="176">
        <f>IF(Q696="","",R695-Q696)</f>
        <v>0</v>
      </c>
      <c r="S696" s="156"/>
      <c r="T696" s="176" t="s">
        <v>116</v>
      </c>
      <c r="U696" s="182">
        <f t="shared" ref="U696:U699" si="192">Y695</f>
        <v>0</v>
      </c>
      <c r="V696" s="178"/>
      <c r="W696" s="182">
        <f t="shared" si="190"/>
        <v>0</v>
      </c>
      <c r="X696" s="178"/>
      <c r="Y696" s="182">
        <f t="shared" si="191"/>
        <v>0</v>
      </c>
      <c r="Z696" s="183"/>
      <c r="AA696" s="158"/>
      <c r="AB696" s="158"/>
      <c r="AC696" s="158"/>
    </row>
    <row r="697" spans="1:29" ht="18" customHeight="1" x14ac:dyDescent="0.2">
      <c r="A697" s="163"/>
      <c r="B697" s="149"/>
      <c r="C697" s="149"/>
      <c r="D697" s="149"/>
      <c r="E697" s="149"/>
      <c r="F697" s="149"/>
      <c r="G697" s="149"/>
      <c r="H697" s="149"/>
      <c r="I697" s="530"/>
      <c r="J697" s="531"/>
      <c r="K697" s="151"/>
      <c r="L697" s="186"/>
      <c r="M697" s="158"/>
      <c r="N697" s="175"/>
      <c r="O697" s="176" t="s">
        <v>117</v>
      </c>
      <c r="P697" s="176"/>
      <c r="Q697" s="176"/>
      <c r="R697" s="176">
        <v>0</v>
      </c>
      <c r="S697" s="156"/>
      <c r="T697" s="176" t="s">
        <v>117</v>
      </c>
      <c r="U697" s="182">
        <f t="shared" si="192"/>
        <v>0</v>
      </c>
      <c r="V697" s="178"/>
      <c r="W697" s="182">
        <f t="shared" si="190"/>
        <v>0</v>
      </c>
      <c r="X697" s="178"/>
      <c r="Y697" s="182">
        <f t="shared" si="191"/>
        <v>0</v>
      </c>
      <c r="Z697" s="183"/>
      <c r="AA697" s="158"/>
      <c r="AB697" s="158"/>
      <c r="AC697" s="158"/>
    </row>
    <row r="698" spans="1:29" ht="18" customHeight="1" x14ac:dyDescent="0.3">
      <c r="A698" s="163"/>
      <c r="B698" s="147"/>
      <c r="C698" s="147"/>
      <c r="D698" s="147"/>
      <c r="E698" s="147"/>
      <c r="F698" s="147"/>
      <c r="G698" s="147"/>
      <c r="H698" s="147"/>
      <c r="I698" s="530"/>
      <c r="J698" s="531"/>
      <c r="K698" s="151"/>
      <c r="L698" s="186"/>
      <c r="M698" s="158"/>
      <c r="N698" s="175"/>
      <c r="O698" s="176" t="s">
        <v>118</v>
      </c>
      <c r="P698" s="176"/>
      <c r="Q698" s="176"/>
      <c r="R698" s="176">
        <v>0</v>
      </c>
      <c r="S698" s="156"/>
      <c r="T698" s="176" t="s">
        <v>118</v>
      </c>
      <c r="U698" s="182">
        <f t="shared" si="192"/>
        <v>0</v>
      </c>
      <c r="V698" s="178"/>
      <c r="W698" s="182">
        <f t="shared" si="190"/>
        <v>0</v>
      </c>
      <c r="X698" s="178"/>
      <c r="Y698" s="182">
        <f t="shared" si="191"/>
        <v>0</v>
      </c>
      <c r="Z698" s="183"/>
      <c r="AA698" s="158"/>
      <c r="AB698" s="158"/>
      <c r="AC698" s="158"/>
    </row>
    <row r="699" spans="1:29" ht="18" customHeight="1" x14ac:dyDescent="0.3">
      <c r="A699" s="163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86"/>
      <c r="M699" s="158"/>
      <c r="N699" s="175"/>
      <c r="O699" s="176" t="s">
        <v>119</v>
      </c>
      <c r="P699" s="176"/>
      <c r="Q699" s="176"/>
      <c r="R699" s="176">
        <v>0</v>
      </c>
      <c r="S699" s="156"/>
      <c r="T699" s="176" t="s">
        <v>119</v>
      </c>
      <c r="U699" s="182">
        <f t="shared" si="192"/>
        <v>0</v>
      </c>
      <c r="V699" s="178"/>
      <c r="W699" s="182">
        <f t="shared" si="190"/>
        <v>0</v>
      </c>
      <c r="X699" s="178"/>
      <c r="Y699" s="182">
        <f t="shared" si="191"/>
        <v>0</v>
      </c>
      <c r="Z699" s="183"/>
      <c r="AA699" s="158"/>
      <c r="AB699" s="158"/>
      <c r="AC699" s="158"/>
    </row>
    <row r="700" spans="1:29" ht="18" customHeight="1" thickBot="1" x14ac:dyDescent="0.25">
      <c r="A700" s="197"/>
      <c r="B700" s="213"/>
      <c r="C700" s="213"/>
      <c r="D700" s="213"/>
      <c r="E700" s="213"/>
      <c r="F700" s="213"/>
      <c r="G700" s="213"/>
      <c r="H700" s="213"/>
      <c r="I700" s="213"/>
      <c r="J700" s="213"/>
      <c r="K700" s="213"/>
      <c r="L700" s="199"/>
      <c r="M700" s="158"/>
      <c r="N700" s="214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8"/>
      <c r="AA700" s="158"/>
      <c r="AB700" s="158"/>
      <c r="AC700" s="158"/>
    </row>
    <row r="701" spans="1:29" ht="18" customHeight="1" thickBot="1" x14ac:dyDescent="0.25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58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8"/>
      <c r="AB701" s="158"/>
      <c r="AC701" s="158"/>
    </row>
    <row r="702" spans="1:29" ht="18" customHeight="1" x14ac:dyDescent="0.2">
      <c r="A702" s="573" t="s">
        <v>87</v>
      </c>
      <c r="B702" s="538"/>
      <c r="C702" s="538"/>
      <c r="D702" s="538"/>
      <c r="E702" s="538"/>
      <c r="F702" s="538"/>
      <c r="G702" s="538"/>
      <c r="H702" s="538"/>
      <c r="I702" s="538"/>
      <c r="J702" s="538"/>
      <c r="K702" s="538"/>
      <c r="L702" s="539"/>
      <c r="M702" s="159"/>
      <c r="N702" s="160"/>
      <c r="O702" s="524" t="s">
        <v>88</v>
      </c>
      <c r="P702" s="525"/>
      <c r="Q702" s="525"/>
      <c r="R702" s="526"/>
      <c r="S702" s="161"/>
      <c r="T702" s="524" t="s">
        <v>89</v>
      </c>
      <c r="U702" s="525"/>
      <c r="V702" s="525"/>
      <c r="W702" s="525"/>
      <c r="X702" s="525"/>
      <c r="Y702" s="526"/>
      <c r="Z702" s="162"/>
      <c r="AA702" s="159"/>
      <c r="AB702" s="158"/>
      <c r="AC702" s="158"/>
    </row>
    <row r="703" spans="1:29" ht="18" customHeight="1" x14ac:dyDescent="0.2">
      <c r="A703" s="163"/>
      <c r="B703" s="149"/>
      <c r="C703" s="535" t="s">
        <v>209</v>
      </c>
      <c r="D703" s="531"/>
      <c r="E703" s="531"/>
      <c r="F703" s="531"/>
      <c r="G703" s="164" t="str">
        <f>$J$1</f>
        <v>September</v>
      </c>
      <c r="H703" s="536">
        <f>$K$1</f>
        <v>2024</v>
      </c>
      <c r="I703" s="531"/>
      <c r="J703" s="149"/>
      <c r="K703" s="165"/>
      <c r="L703" s="166"/>
      <c r="M703" s="167"/>
      <c r="N703" s="168"/>
      <c r="O703" s="169" t="s">
        <v>91</v>
      </c>
      <c r="P703" s="169" t="s">
        <v>92</v>
      </c>
      <c r="Q703" s="169" t="s">
        <v>93</v>
      </c>
      <c r="R703" s="169" t="s">
        <v>94</v>
      </c>
      <c r="S703" s="170"/>
      <c r="T703" s="169" t="s">
        <v>91</v>
      </c>
      <c r="U703" s="169" t="s">
        <v>95</v>
      </c>
      <c r="V703" s="169" t="s">
        <v>9</v>
      </c>
      <c r="W703" s="169" t="s">
        <v>10</v>
      </c>
      <c r="X703" s="169" t="s">
        <v>11</v>
      </c>
      <c r="Y703" s="169" t="s">
        <v>96</v>
      </c>
      <c r="Z703" s="171"/>
      <c r="AA703" s="167"/>
      <c r="AB703" s="158"/>
      <c r="AC703" s="158"/>
    </row>
    <row r="704" spans="1:29" ht="18" customHeight="1" x14ac:dyDescent="0.2">
      <c r="A704" s="163"/>
      <c r="B704" s="149"/>
      <c r="C704" s="149"/>
      <c r="D704" s="172"/>
      <c r="E704" s="172"/>
      <c r="F704" s="172"/>
      <c r="G704" s="172"/>
      <c r="H704" s="172"/>
      <c r="I704" s="149"/>
      <c r="J704" s="173" t="s">
        <v>97</v>
      </c>
      <c r="K704" s="151">
        <v>35000</v>
      </c>
      <c r="L704" s="174"/>
      <c r="M704" s="158"/>
      <c r="N704" s="175"/>
      <c r="O704" s="176" t="s">
        <v>98</v>
      </c>
      <c r="P704" s="176"/>
      <c r="Q704" s="176"/>
      <c r="R704" s="176"/>
      <c r="S704" s="177"/>
      <c r="T704" s="176" t="s">
        <v>98</v>
      </c>
      <c r="U704" s="178"/>
      <c r="V704" s="178"/>
      <c r="W704" s="178">
        <f>V704+U704</f>
        <v>0</v>
      </c>
      <c r="X704" s="178"/>
      <c r="Y704" s="178">
        <f>W704-X704</f>
        <v>0</v>
      </c>
      <c r="Z704" s="171"/>
      <c r="AA704" s="158"/>
      <c r="AB704" s="158"/>
      <c r="AC704" s="158"/>
    </row>
    <row r="705" spans="1:29" ht="18" customHeight="1" x14ac:dyDescent="0.2">
      <c r="A705" s="163"/>
      <c r="B705" s="149" t="s">
        <v>99</v>
      </c>
      <c r="C705" s="148" t="s">
        <v>210</v>
      </c>
      <c r="D705" s="149"/>
      <c r="E705" s="149"/>
      <c r="F705" s="149"/>
      <c r="G705" s="149"/>
      <c r="H705" s="179"/>
      <c r="I705" s="172"/>
      <c r="J705" s="149"/>
      <c r="K705" s="149"/>
      <c r="L705" s="180"/>
      <c r="M705" s="159"/>
      <c r="N705" s="181"/>
      <c r="O705" s="176" t="s">
        <v>100</v>
      </c>
      <c r="P705" s="176"/>
      <c r="Q705" s="176"/>
      <c r="R705" s="176">
        <v>0</v>
      </c>
      <c r="S705" s="156"/>
      <c r="T705" s="176" t="s">
        <v>100</v>
      </c>
      <c r="U705" s="182">
        <f>Y704</f>
        <v>0</v>
      </c>
      <c r="V705" s="178"/>
      <c r="W705" s="182">
        <f t="shared" ref="W705:W715" si="193">IF(U705="","",U705+V705)</f>
        <v>0</v>
      </c>
      <c r="X705" s="178"/>
      <c r="Y705" s="182">
        <f t="shared" ref="Y705:Y715" si="194">IF(W705="","",W705-X705)</f>
        <v>0</v>
      </c>
      <c r="Z705" s="183"/>
      <c r="AA705" s="159"/>
      <c r="AB705" s="158"/>
      <c r="AC705" s="158"/>
    </row>
    <row r="706" spans="1:29" ht="18" customHeight="1" x14ac:dyDescent="0.2">
      <c r="A706" s="163"/>
      <c r="B706" s="184" t="s">
        <v>101</v>
      </c>
      <c r="C706" s="185"/>
      <c r="D706" s="149"/>
      <c r="E706" s="149"/>
      <c r="F706" s="529" t="s">
        <v>89</v>
      </c>
      <c r="G706" s="503"/>
      <c r="H706" s="149"/>
      <c r="I706" s="529" t="s">
        <v>102</v>
      </c>
      <c r="J706" s="502"/>
      <c r="K706" s="503"/>
      <c r="L706" s="186"/>
      <c r="M706" s="158"/>
      <c r="N706" s="175"/>
      <c r="O706" s="176" t="s">
        <v>103</v>
      </c>
      <c r="P706" s="176"/>
      <c r="Q706" s="176"/>
      <c r="R706" s="176">
        <v>0</v>
      </c>
      <c r="S706" s="156"/>
      <c r="T706" s="176" t="s">
        <v>103</v>
      </c>
      <c r="U706" s="182">
        <f t="shared" ref="U706:U707" si="195">IF($J$1="April",Y705,Y705)</f>
        <v>0</v>
      </c>
      <c r="V706" s="178"/>
      <c r="W706" s="182">
        <f t="shared" si="193"/>
        <v>0</v>
      </c>
      <c r="X706" s="178"/>
      <c r="Y706" s="182">
        <f t="shared" si="194"/>
        <v>0</v>
      </c>
      <c r="Z706" s="183"/>
      <c r="AA706" s="158"/>
      <c r="AB706" s="158"/>
      <c r="AC706" s="158"/>
    </row>
    <row r="707" spans="1:29" ht="18" customHeight="1" x14ac:dyDescent="0.2">
      <c r="A707" s="163"/>
      <c r="B707" s="149"/>
      <c r="C707" s="149"/>
      <c r="D707" s="149"/>
      <c r="E707" s="149"/>
      <c r="F707" s="149"/>
      <c r="G707" s="149"/>
      <c r="H707" s="187"/>
      <c r="I707" s="149"/>
      <c r="J707" s="149"/>
      <c r="K707" s="149"/>
      <c r="L707" s="188"/>
      <c r="M707" s="158"/>
      <c r="N707" s="175"/>
      <c r="O707" s="176" t="s">
        <v>104</v>
      </c>
      <c r="P707" s="176"/>
      <c r="Q707" s="176"/>
      <c r="R707" s="176">
        <v>0</v>
      </c>
      <c r="S707" s="156"/>
      <c r="T707" s="176" t="s">
        <v>104</v>
      </c>
      <c r="U707" s="182">
        <f t="shared" si="195"/>
        <v>0</v>
      </c>
      <c r="V707" s="178"/>
      <c r="W707" s="182">
        <f t="shared" si="193"/>
        <v>0</v>
      </c>
      <c r="X707" s="178"/>
      <c r="Y707" s="182">
        <f t="shared" si="194"/>
        <v>0</v>
      </c>
      <c r="Z707" s="183"/>
      <c r="AA707" s="158"/>
      <c r="AB707" s="158"/>
      <c r="AC707" s="158"/>
    </row>
    <row r="708" spans="1:29" ht="18" customHeight="1" x14ac:dyDescent="0.2">
      <c r="A708" s="163"/>
      <c r="B708" s="527" t="s">
        <v>88</v>
      </c>
      <c r="C708" s="503"/>
      <c r="D708" s="149"/>
      <c r="E708" s="149"/>
      <c r="F708" s="189" t="s">
        <v>105</v>
      </c>
      <c r="G708" s="190" t="str">
        <f>IF($J$1="January",U704,IF($J$1="February",U705,IF($J$1="March",U706,IF($J$1="April",U707,IF($J$1="May",U708,IF($J$1="June",U709,IF($J$1="July",U710,IF($J$1="August",U711,IF($J$1="August",U711,IF($J$1="September",U712,IF($J$1="October",U713,IF($J$1="November",U714,IF($J$1="December",U715)))))))))))))</f>
        <v/>
      </c>
      <c r="H708" s="187"/>
      <c r="I708" s="191">
        <f>IF(C712&gt;0,$K$2,C710)</f>
        <v>29</v>
      </c>
      <c r="J708" s="192" t="s">
        <v>106</v>
      </c>
      <c r="K708" s="193">
        <f>K704/$K$2*I708</f>
        <v>33833.333333333336</v>
      </c>
      <c r="L708" s="194"/>
      <c r="M708" s="158"/>
      <c r="N708" s="175"/>
      <c r="O708" s="176" t="s">
        <v>107</v>
      </c>
      <c r="P708" s="176">
        <v>29</v>
      </c>
      <c r="Q708" s="176">
        <v>2</v>
      </c>
      <c r="R708" s="176">
        <v>0</v>
      </c>
      <c r="S708" s="156"/>
      <c r="T708" s="176" t="s">
        <v>107</v>
      </c>
      <c r="U708" s="182">
        <f t="shared" ref="U708:U709" si="196">IF($J$1="May",Y707,Y707)</f>
        <v>0</v>
      </c>
      <c r="V708" s="178"/>
      <c r="W708" s="182">
        <f t="shared" si="193"/>
        <v>0</v>
      </c>
      <c r="X708" s="178"/>
      <c r="Y708" s="182">
        <f t="shared" si="194"/>
        <v>0</v>
      </c>
      <c r="Z708" s="183"/>
      <c r="AA708" s="158"/>
      <c r="AB708" s="158"/>
      <c r="AC708" s="158"/>
    </row>
    <row r="709" spans="1:29" ht="18" customHeight="1" x14ac:dyDescent="0.2">
      <c r="A709" s="163"/>
      <c r="B709" s="195"/>
      <c r="C709" s="195"/>
      <c r="D709" s="149"/>
      <c r="E709" s="149"/>
      <c r="F709" s="189" t="s">
        <v>9</v>
      </c>
      <c r="G709" s="190">
        <f>IF($J$1="January",V704,IF($J$1="February",V705,IF($J$1="March",V706,IF($J$1="April",V707,IF($J$1="May",V708,IF($J$1="June",V709,IF($J$1="July",V710,IF($J$1="August",V711,IF($J$1="August",V711,IF($J$1="September",V712,IF($J$1="October",V713,IF($J$1="November",V714,IF($J$1="December",V715)))))))))))))</f>
        <v>0</v>
      </c>
      <c r="H709" s="187"/>
      <c r="I709" s="211">
        <v>35</v>
      </c>
      <c r="J709" s="192" t="s">
        <v>108</v>
      </c>
      <c r="K709" s="190">
        <f>K704/$K$2/8*I709</f>
        <v>5104.166666666667</v>
      </c>
      <c r="L709" s="196"/>
      <c r="M709" s="158"/>
      <c r="N709" s="175"/>
      <c r="O709" s="176" t="s">
        <v>84</v>
      </c>
      <c r="P709" s="176">
        <v>29</v>
      </c>
      <c r="Q709" s="176">
        <v>1</v>
      </c>
      <c r="R709" s="176">
        <v>0</v>
      </c>
      <c r="S709" s="156"/>
      <c r="T709" s="176" t="s">
        <v>84</v>
      </c>
      <c r="U709" s="182">
        <f t="shared" si="196"/>
        <v>0</v>
      </c>
      <c r="V709" s="178"/>
      <c r="W709" s="182">
        <f t="shared" si="193"/>
        <v>0</v>
      </c>
      <c r="X709" s="178"/>
      <c r="Y709" s="182">
        <f t="shared" si="194"/>
        <v>0</v>
      </c>
      <c r="Z709" s="183"/>
      <c r="AA709" s="158"/>
      <c r="AB709" s="158"/>
      <c r="AC709" s="158"/>
    </row>
    <row r="710" spans="1:29" ht="18" customHeight="1" x14ac:dyDescent="0.2">
      <c r="A710" s="163"/>
      <c r="B710" s="189" t="s">
        <v>92</v>
      </c>
      <c r="C710" s="195">
        <f>IF($J$1="January",P704,IF($J$1="February",P705,IF($J$1="March",P706,IF($J$1="April",P707,IF($J$1="May",P708,IF($J$1="June",P709,IF($J$1="July",P710,IF($J$1="August",P711,IF($J$1="August",P711,IF($J$1="September",P712,IF($J$1="October",P713,IF($J$1="November",P714,IF($J$1="December",P715)))))))))))))</f>
        <v>29</v>
      </c>
      <c r="D710" s="149"/>
      <c r="E710" s="149"/>
      <c r="F710" s="189" t="s">
        <v>333</v>
      </c>
      <c r="G710" s="190" t="str">
        <f>IF($J$1="January",W704,IF($J$1="February",W705,IF($J$1="March",W706,IF($J$1="April",W707,IF($J$1="May",W708,IF($J$1="June",W709,IF($J$1="July",W710,IF($J$1="August",W711,IF($J$1="August",W711,IF($J$1="September",W712,IF($J$1="October",W713,IF($J$1="November",W714,IF($J$1="December",W715)))))))))))))</f>
        <v/>
      </c>
      <c r="H710" s="187"/>
      <c r="I710" s="211">
        <v>35</v>
      </c>
      <c r="J710" s="192" t="s">
        <v>108</v>
      </c>
      <c r="K710" s="190">
        <f>K708+K709</f>
        <v>38937.5</v>
      </c>
      <c r="L710" s="196"/>
      <c r="M710" s="158"/>
      <c r="N710" s="175"/>
      <c r="O710" s="176" t="s">
        <v>111</v>
      </c>
      <c r="P710" s="176">
        <v>31</v>
      </c>
      <c r="Q710" s="176">
        <v>0</v>
      </c>
      <c r="R710" s="176">
        <v>0</v>
      </c>
      <c r="S710" s="156"/>
      <c r="T710" s="176" t="s">
        <v>111</v>
      </c>
      <c r="U710" s="182" t="str">
        <f>IF($J$1="July",Y709,"")</f>
        <v/>
      </c>
      <c r="V710" s="178"/>
      <c r="W710" s="182" t="str">
        <f t="shared" si="193"/>
        <v/>
      </c>
      <c r="X710" s="178"/>
      <c r="Y710" s="182" t="str">
        <f t="shared" si="194"/>
        <v/>
      </c>
      <c r="Z710" s="183"/>
      <c r="AA710" s="158"/>
      <c r="AB710" s="158"/>
      <c r="AC710" s="158"/>
    </row>
    <row r="711" spans="1:29" ht="18" customHeight="1" x14ac:dyDescent="0.2">
      <c r="A711" s="163"/>
      <c r="B711" s="189" t="s">
        <v>93</v>
      </c>
      <c r="C711" s="195">
        <f>IF($J$1="January",Q704,IF($J$1="February",Q705,IF($J$1="March",Q706,IF($J$1="April",Q707,IF($J$1="May",Q708,IF($J$1="June",Q709,IF($J$1="July",Q710,IF($J$1="August",Q711,IF($J$1="August",Q711,IF($J$1="September",Q712,IF($J$1="October",Q713,IF($J$1="November",Q714,IF($J$1="December",Q715)))))))))))))</f>
        <v>1</v>
      </c>
      <c r="D711" s="149"/>
      <c r="E711" s="149"/>
      <c r="F711" s="189" t="s">
        <v>11</v>
      </c>
      <c r="G711" s="190">
        <f>IF($J$1="January",X704,IF($J$1="February",X705,IF($J$1="March",X706,IF($J$1="April",X707,IF($J$1="May",X708,IF($J$1="June",X709,IF($J$1="July",X710,IF($J$1="August",X711,IF($J$1="August",X711,IF($J$1="September",X712,IF($J$1="October",X713,IF($J$1="November",X714,IF($J$1="December",X715)))))))))))))</f>
        <v>0</v>
      </c>
      <c r="H711" s="187"/>
      <c r="I711" s="528" t="s">
        <v>112</v>
      </c>
      <c r="J711" s="503"/>
      <c r="K711" s="190">
        <f>G711</f>
        <v>0</v>
      </c>
      <c r="L711" s="196"/>
      <c r="M711" s="158"/>
      <c r="N711" s="175"/>
      <c r="O711" s="176" t="s">
        <v>113</v>
      </c>
      <c r="P711" s="176">
        <v>31</v>
      </c>
      <c r="Q711" s="176">
        <v>0</v>
      </c>
      <c r="R711" s="176">
        <f t="shared" ref="R711:R715" si="197">IF(Q711="","",R710-Q711)</f>
        <v>0</v>
      </c>
      <c r="S711" s="156"/>
      <c r="T711" s="176" t="s">
        <v>113</v>
      </c>
      <c r="U711" s="182" t="str">
        <f>IF($J$1="August",Y710,"")</f>
        <v/>
      </c>
      <c r="V711" s="178"/>
      <c r="W711" s="182" t="str">
        <f t="shared" si="193"/>
        <v/>
      </c>
      <c r="X711" s="178"/>
      <c r="Y711" s="182" t="str">
        <f t="shared" si="194"/>
        <v/>
      </c>
      <c r="Z711" s="183"/>
      <c r="AA711" s="158"/>
      <c r="AB711" s="158"/>
      <c r="AC711" s="158"/>
    </row>
    <row r="712" spans="1:29" ht="18" customHeight="1" x14ac:dyDescent="0.2">
      <c r="A712" s="163"/>
      <c r="B712" s="212" t="s">
        <v>114</v>
      </c>
      <c r="C712" s="195">
        <f>IF($J$1="January",R704,IF($J$1="February",R705,IF($J$1="March",R706,IF($J$1="April",R707,IF($J$1="May",R708,IF($J$1="June",R709,IF($J$1="July",R710,IF($J$1="August",R711,IF($J$1="August",R711,IF($J$1="September",R712,IF($J$1="October",R713,IF($J$1="November",R714,IF($J$1="December",R715)))))))))))))</f>
        <v>0</v>
      </c>
      <c r="D712" s="149"/>
      <c r="E712" s="149"/>
      <c r="F712" s="189" t="s">
        <v>167</v>
      </c>
      <c r="G712" s="190" t="str">
        <f>IF($J$1="January",Y704,IF($J$1="February",Y705,IF($J$1="March",Y706,IF($J$1="April",Y707,IF($J$1="May",Y708,IF($J$1="June",Y709,IF($J$1="July",Y710,IF($J$1="August",Y711,IF($J$1="August",Y711,IF($J$1="September",Y712,IF($J$1="October",Y713,IF($J$1="November",Y714,IF($J$1="December",Y715)))))))))))))</f>
        <v/>
      </c>
      <c r="H712" s="149"/>
      <c r="I712" s="529" t="s">
        <v>13</v>
      </c>
      <c r="J712" s="503"/>
      <c r="K712" s="37">
        <f>K710-K711</f>
        <v>38937.5</v>
      </c>
      <c r="L712" s="180"/>
      <c r="M712" s="158"/>
      <c r="N712" s="175"/>
      <c r="O712" s="176" t="s">
        <v>116</v>
      </c>
      <c r="P712" s="176">
        <v>29</v>
      </c>
      <c r="Q712" s="176">
        <v>1</v>
      </c>
      <c r="R712" s="176">
        <v>0</v>
      </c>
      <c r="S712" s="156"/>
      <c r="T712" s="176" t="s">
        <v>116</v>
      </c>
      <c r="U712" s="182" t="str">
        <f>IF($J$1="Sept",Y711,"")</f>
        <v/>
      </c>
      <c r="V712" s="178"/>
      <c r="W712" s="182" t="str">
        <f t="shared" si="193"/>
        <v/>
      </c>
      <c r="X712" s="178"/>
      <c r="Y712" s="182" t="str">
        <f t="shared" si="194"/>
        <v/>
      </c>
      <c r="Z712" s="183"/>
      <c r="AA712" s="158"/>
      <c r="AB712" s="158"/>
      <c r="AC712" s="158"/>
    </row>
    <row r="713" spans="1:29" ht="18" customHeight="1" x14ac:dyDescent="0.2">
      <c r="A713" s="163"/>
      <c r="B713" s="149"/>
      <c r="C713" s="149"/>
      <c r="D713" s="149"/>
      <c r="E713" s="149"/>
      <c r="F713" s="149"/>
      <c r="G713" s="149"/>
      <c r="H713" s="149"/>
      <c r="I713" s="530"/>
      <c r="J713" s="531"/>
      <c r="K713" s="151"/>
      <c r="L713" s="186"/>
      <c r="M713" s="158"/>
      <c r="N713" s="175"/>
      <c r="O713" s="176" t="s">
        <v>117</v>
      </c>
      <c r="P713" s="176"/>
      <c r="Q713" s="176"/>
      <c r="R713" s="176" t="str">
        <f t="shared" si="197"/>
        <v/>
      </c>
      <c r="S713" s="156"/>
      <c r="T713" s="176" t="s">
        <v>117</v>
      </c>
      <c r="U713" s="182" t="str">
        <f>IF($J$1="October",Y712,"")</f>
        <v/>
      </c>
      <c r="V713" s="178"/>
      <c r="W713" s="182" t="str">
        <f t="shared" si="193"/>
        <v/>
      </c>
      <c r="X713" s="178"/>
      <c r="Y713" s="182" t="str">
        <f t="shared" si="194"/>
        <v/>
      </c>
      <c r="Z713" s="183"/>
      <c r="AA713" s="158"/>
      <c r="AB713" s="158"/>
      <c r="AC713" s="158"/>
    </row>
    <row r="714" spans="1:29" ht="18" customHeight="1" x14ac:dyDescent="0.3">
      <c r="A714" s="163"/>
      <c r="B714" s="147"/>
      <c r="C714" s="147"/>
      <c r="D714" s="147"/>
      <c r="E714" s="147"/>
      <c r="F714" s="147"/>
      <c r="G714" s="147"/>
      <c r="H714" s="147"/>
      <c r="I714" s="530"/>
      <c r="J714" s="531"/>
      <c r="K714" s="151"/>
      <c r="L714" s="186"/>
      <c r="M714" s="158"/>
      <c r="N714" s="175"/>
      <c r="O714" s="176" t="s">
        <v>118</v>
      </c>
      <c r="P714" s="176"/>
      <c r="Q714" s="176"/>
      <c r="R714" s="176" t="str">
        <f t="shared" si="197"/>
        <v/>
      </c>
      <c r="S714" s="156"/>
      <c r="T714" s="176" t="s">
        <v>118</v>
      </c>
      <c r="U714" s="182" t="str">
        <f>IF($J$1="November",Y713,"")</f>
        <v/>
      </c>
      <c r="V714" s="178"/>
      <c r="W714" s="182" t="str">
        <f t="shared" si="193"/>
        <v/>
      </c>
      <c r="X714" s="178"/>
      <c r="Y714" s="182" t="str">
        <f t="shared" si="194"/>
        <v/>
      </c>
      <c r="Z714" s="183"/>
      <c r="AA714" s="158"/>
      <c r="AB714" s="158"/>
      <c r="AC714" s="158"/>
    </row>
    <row r="715" spans="1:29" ht="18" customHeight="1" x14ac:dyDescent="0.3">
      <c r="A715" s="163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86"/>
      <c r="M715" s="158"/>
      <c r="N715" s="175"/>
      <c r="O715" s="176" t="s">
        <v>119</v>
      </c>
      <c r="P715" s="176"/>
      <c r="Q715" s="176"/>
      <c r="R715" s="176" t="str">
        <f t="shared" si="197"/>
        <v/>
      </c>
      <c r="S715" s="156"/>
      <c r="T715" s="176" t="s">
        <v>119</v>
      </c>
      <c r="U715" s="182" t="str">
        <f>IF($J$1="Dec",Y714,"")</f>
        <v/>
      </c>
      <c r="V715" s="178"/>
      <c r="W715" s="182" t="str">
        <f t="shared" si="193"/>
        <v/>
      </c>
      <c r="X715" s="178"/>
      <c r="Y715" s="182" t="str">
        <f t="shared" si="194"/>
        <v/>
      </c>
      <c r="Z715" s="183"/>
      <c r="AA715" s="158"/>
      <c r="AB715" s="158"/>
      <c r="AC715" s="158"/>
    </row>
    <row r="716" spans="1:29" ht="18" customHeight="1" thickBot="1" x14ac:dyDescent="0.25">
      <c r="A716" s="197"/>
      <c r="B716" s="213"/>
      <c r="C716" s="213"/>
      <c r="D716" s="213"/>
      <c r="E716" s="213"/>
      <c r="F716" s="213"/>
      <c r="G716" s="213"/>
      <c r="H716" s="213"/>
      <c r="I716" s="213"/>
      <c r="J716" s="213"/>
      <c r="K716" s="213"/>
      <c r="L716" s="199"/>
      <c r="M716" s="158"/>
      <c r="N716" s="214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8"/>
      <c r="AA716" s="158"/>
      <c r="AB716" s="158"/>
      <c r="AC716" s="158"/>
    </row>
    <row r="717" spans="1:29" ht="18" customHeight="1" thickBot="1" x14ac:dyDescent="0.25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58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8"/>
      <c r="AB717" s="158"/>
      <c r="AC717" s="158"/>
    </row>
    <row r="718" spans="1:29" ht="18" customHeight="1" thickBot="1" x14ac:dyDescent="0.25">
      <c r="A718" s="532" t="s">
        <v>87</v>
      </c>
      <c r="B718" s="533"/>
      <c r="C718" s="533"/>
      <c r="D718" s="533"/>
      <c r="E718" s="533"/>
      <c r="F718" s="533"/>
      <c r="G718" s="533"/>
      <c r="H718" s="533"/>
      <c r="I718" s="533"/>
      <c r="J718" s="533"/>
      <c r="K718" s="533"/>
      <c r="L718" s="534"/>
      <c r="M718" s="159"/>
      <c r="N718" s="160"/>
      <c r="O718" s="524" t="s">
        <v>88</v>
      </c>
      <c r="P718" s="525"/>
      <c r="Q718" s="525"/>
      <c r="R718" s="526"/>
      <c r="S718" s="161"/>
      <c r="T718" s="524" t="s">
        <v>89</v>
      </c>
      <c r="U718" s="525"/>
      <c r="V718" s="525"/>
      <c r="W718" s="525"/>
      <c r="X718" s="525"/>
      <c r="Y718" s="526"/>
      <c r="Z718" s="162"/>
      <c r="AA718" s="159"/>
      <c r="AB718" s="158"/>
      <c r="AC718" s="158"/>
    </row>
    <row r="719" spans="1:29" ht="18" customHeight="1" x14ac:dyDescent="0.2">
      <c r="A719" s="163"/>
      <c r="B719" s="149"/>
      <c r="C719" s="535" t="s">
        <v>211</v>
      </c>
      <c r="D719" s="531"/>
      <c r="E719" s="531"/>
      <c r="F719" s="531"/>
      <c r="G719" s="164" t="str">
        <f>$J$1</f>
        <v>September</v>
      </c>
      <c r="H719" s="536">
        <f>$K$1</f>
        <v>2024</v>
      </c>
      <c r="I719" s="531"/>
      <c r="J719" s="149"/>
      <c r="K719" s="165"/>
      <c r="L719" s="166"/>
      <c r="M719" s="167"/>
      <c r="N719" s="168"/>
      <c r="O719" s="169" t="s">
        <v>91</v>
      </c>
      <c r="P719" s="169" t="s">
        <v>92</v>
      </c>
      <c r="Q719" s="169" t="s">
        <v>93</v>
      </c>
      <c r="R719" s="169" t="s">
        <v>94</v>
      </c>
      <c r="S719" s="170"/>
      <c r="T719" s="169" t="s">
        <v>91</v>
      </c>
      <c r="U719" s="169" t="s">
        <v>95</v>
      </c>
      <c r="V719" s="169" t="s">
        <v>9</v>
      </c>
      <c r="W719" s="169" t="s">
        <v>10</v>
      </c>
      <c r="X719" s="169" t="s">
        <v>11</v>
      </c>
      <c r="Y719" s="169" t="s">
        <v>96</v>
      </c>
      <c r="Z719" s="171"/>
      <c r="AA719" s="167"/>
      <c r="AB719" s="158"/>
      <c r="AC719" s="158"/>
    </row>
    <row r="720" spans="1:29" ht="18" customHeight="1" x14ac:dyDescent="0.2">
      <c r="A720" s="163"/>
      <c r="B720" s="149"/>
      <c r="C720" s="149"/>
      <c r="D720" s="172"/>
      <c r="E720" s="172"/>
      <c r="F720" s="172"/>
      <c r="G720" s="172"/>
      <c r="H720" s="172"/>
      <c r="I720" s="149"/>
      <c r="J720" s="173" t="s">
        <v>97</v>
      </c>
      <c r="K720" s="151">
        <f>30000+2500</f>
        <v>32500</v>
      </c>
      <c r="L720" s="174"/>
      <c r="M720" s="158"/>
      <c r="N720" s="175"/>
      <c r="O720" s="176" t="s">
        <v>98</v>
      </c>
      <c r="P720" s="176"/>
      <c r="Q720" s="176"/>
      <c r="R720" s="176"/>
      <c r="S720" s="177"/>
      <c r="T720" s="176" t="s">
        <v>98</v>
      </c>
      <c r="U720" s="178"/>
      <c r="V720" s="178"/>
      <c r="W720" s="178">
        <f>V720+U720</f>
        <v>0</v>
      </c>
      <c r="X720" s="178"/>
      <c r="Y720" s="178">
        <f>W720-X720</f>
        <v>0</v>
      </c>
      <c r="Z720" s="171"/>
      <c r="AA720" s="158"/>
      <c r="AB720" s="158"/>
      <c r="AC720" s="158"/>
    </row>
    <row r="721" spans="1:29" ht="18" customHeight="1" x14ac:dyDescent="0.2">
      <c r="A721" s="163"/>
      <c r="B721" s="149" t="s">
        <v>99</v>
      </c>
      <c r="C721" s="148" t="s">
        <v>212</v>
      </c>
      <c r="D721" s="149"/>
      <c r="E721" s="149"/>
      <c r="F721" s="149"/>
      <c r="G721" s="149"/>
      <c r="H721" s="179"/>
      <c r="I721" s="172"/>
      <c r="J721" s="149"/>
      <c r="K721" s="149"/>
      <c r="L721" s="180"/>
      <c r="M721" s="159"/>
      <c r="N721" s="181"/>
      <c r="O721" s="176" t="s">
        <v>100</v>
      </c>
      <c r="P721" s="176"/>
      <c r="Q721" s="176"/>
      <c r="R721" s="176"/>
      <c r="S721" s="156"/>
      <c r="T721" s="176" t="s">
        <v>100</v>
      </c>
      <c r="U721" s="182">
        <f t="shared" ref="U721:U722" si="198">Y720</f>
        <v>0</v>
      </c>
      <c r="V721" s="178"/>
      <c r="W721" s="182">
        <f t="shared" ref="W721:W731" si="199">IF(U721="","",U721+V721)</f>
        <v>0</v>
      </c>
      <c r="X721" s="178"/>
      <c r="Y721" s="182">
        <f t="shared" ref="Y721:Y731" si="200">IF(W721="","",W721-X721)</f>
        <v>0</v>
      </c>
      <c r="Z721" s="183"/>
      <c r="AA721" s="159"/>
      <c r="AB721" s="158"/>
      <c r="AC721" s="158"/>
    </row>
    <row r="722" spans="1:29" ht="18" customHeight="1" x14ac:dyDescent="0.2">
      <c r="A722" s="163"/>
      <c r="B722" s="184" t="s">
        <v>101</v>
      </c>
      <c r="C722" s="185"/>
      <c r="D722" s="149"/>
      <c r="E722" s="149"/>
      <c r="F722" s="529" t="s">
        <v>89</v>
      </c>
      <c r="G722" s="503"/>
      <c r="H722" s="149"/>
      <c r="I722" s="529" t="s">
        <v>102</v>
      </c>
      <c r="J722" s="502"/>
      <c r="K722" s="503"/>
      <c r="L722" s="186"/>
      <c r="M722" s="158"/>
      <c r="N722" s="175"/>
      <c r="O722" s="176" t="s">
        <v>103</v>
      </c>
      <c r="P722" s="176">
        <v>14</v>
      </c>
      <c r="Q722" s="176"/>
      <c r="R722" s="176">
        <v>0</v>
      </c>
      <c r="S722" s="156"/>
      <c r="T722" s="176" t="s">
        <v>103</v>
      </c>
      <c r="U722" s="182">
        <f t="shared" si="198"/>
        <v>0</v>
      </c>
      <c r="V722" s="178"/>
      <c r="W722" s="182">
        <f t="shared" si="199"/>
        <v>0</v>
      </c>
      <c r="X722" s="178"/>
      <c r="Y722" s="182">
        <f t="shared" si="200"/>
        <v>0</v>
      </c>
      <c r="Z722" s="183"/>
      <c r="AA722" s="158"/>
      <c r="AB722" s="158"/>
      <c r="AC722" s="158"/>
    </row>
    <row r="723" spans="1:29" ht="18" customHeight="1" x14ac:dyDescent="0.2">
      <c r="A723" s="163"/>
      <c r="B723" s="149"/>
      <c r="C723" s="149"/>
      <c r="D723" s="149"/>
      <c r="E723" s="149"/>
      <c r="F723" s="149"/>
      <c r="G723" s="149"/>
      <c r="H723" s="187"/>
      <c r="I723" s="149"/>
      <c r="J723" s="149"/>
      <c r="K723" s="149"/>
      <c r="L723" s="188"/>
      <c r="M723" s="158"/>
      <c r="N723" s="175"/>
      <c r="O723" s="176" t="s">
        <v>104</v>
      </c>
      <c r="P723" s="176">
        <v>30</v>
      </c>
      <c r="Q723" s="176">
        <v>0</v>
      </c>
      <c r="R723" s="176"/>
      <c r="S723" s="156"/>
      <c r="T723" s="176" t="s">
        <v>104</v>
      </c>
      <c r="U723" s="182">
        <f>IF($J$1="March","",Y722)</f>
        <v>0</v>
      </c>
      <c r="V723" s="178"/>
      <c r="W723" s="182">
        <f t="shared" si="199"/>
        <v>0</v>
      </c>
      <c r="X723" s="178"/>
      <c r="Y723" s="182">
        <f t="shared" si="200"/>
        <v>0</v>
      </c>
      <c r="Z723" s="183"/>
      <c r="AA723" s="158"/>
      <c r="AB723" s="158"/>
      <c r="AC723" s="158"/>
    </row>
    <row r="724" spans="1:29" ht="18" customHeight="1" x14ac:dyDescent="0.2">
      <c r="A724" s="163"/>
      <c r="B724" s="527" t="s">
        <v>88</v>
      </c>
      <c r="C724" s="503"/>
      <c r="D724" s="149"/>
      <c r="E724" s="149"/>
      <c r="F724" s="189" t="s">
        <v>105</v>
      </c>
      <c r="G724" s="190">
        <f>IF($J$1="January",U720,IF($J$1="February",U721,IF($J$1="March",U722,IF($J$1="April",U723,IF($J$1="May",U724,IF($J$1="June",U725,IF($J$1="July",U726,IF($J$1="August",U727,IF($J$1="August",U727,IF($J$1="September",U728,IF($J$1="October",U729,IF($J$1="November",U730,IF($J$1="December",U731)))))))))))))</f>
        <v>11000</v>
      </c>
      <c r="H724" s="187"/>
      <c r="I724" s="191">
        <f>IF(C728&gt;0,$K$2,C726)</f>
        <v>30</v>
      </c>
      <c r="J724" s="192" t="s">
        <v>106</v>
      </c>
      <c r="K724" s="193">
        <f>K720/$K$2*I724</f>
        <v>32499.999999999996</v>
      </c>
      <c r="L724" s="194"/>
      <c r="M724" s="158"/>
      <c r="N724" s="175"/>
      <c r="O724" s="176" t="s">
        <v>107</v>
      </c>
      <c r="P724" s="176">
        <v>31</v>
      </c>
      <c r="Q724" s="176">
        <v>0</v>
      </c>
      <c r="R724" s="176"/>
      <c r="S724" s="156"/>
      <c r="T724" s="176" t="s">
        <v>107</v>
      </c>
      <c r="U724" s="182">
        <f t="shared" ref="U724:U725" si="201">IF($J$1="May",Y723,Y723)</f>
        <v>0</v>
      </c>
      <c r="V724" s="178"/>
      <c r="W724" s="182">
        <f t="shared" si="199"/>
        <v>0</v>
      </c>
      <c r="X724" s="178"/>
      <c r="Y724" s="182">
        <f t="shared" si="200"/>
        <v>0</v>
      </c>
      <c r="Z724" s="183"/>
      <c r="AA724" s="158"/>
      <c r="AB724" s="158"/>
      <c r="AC724" s="158"/>
    </row>
    <row r="725" spans="1:29" ht="18" customHeight="1" x14ac:dyDescent="0.2">
      <c r="A725" s="163"/>
      <c r="B725" s="195"/>
      <c r="C725" s="195"/>
      <c r="D725" s="149"/>
      <c r="E725" s="149"/>
      <c r="F725" s="189" t="s">
        <v>9</v>
      </c>
      <c r="G725" s="190">
        <f>IF($J$1="January",V720,IF($J$1="February",V721,IF($J$1="March",V722,IF($J$1="April",V723,IF($J$1="May",V724,IF($J$1="June",V725,IF($J$1="July",V726,IF($J$1="August",V727,IF($J$1="August",V727,IF($J$1="September",V728,IF($J$1="October",V729,IF($J$1="November",V730,IF($J$1="December",V731)))))))))))))</f>
        <v>0</v>
      </c>
      <c r="H725" s="187"/>
      <c r="I725" s="191">
        <v>64</v>
      </c>
      <c r="J725" s="192" t="s">
        <v>108</v>
      </c>
      <c r="K725" s="190">
        <f>K720/$K$2/8*I725</f>
        <v>8666.6666666666661</v>
      </c>
      <c r="L725" s="196"/>
      <c r="M725" s="158"/>
      <c r="N725" s="175"/>
      <c r="O725" s="176" t="s">
        <v>84</v>
      </c>
      <c r="P725" s="176">
        <v>30</v>
      </c>
      <c r="Q725" s="176">
        <v>0</v>
      </c>
      <c r="R725" s="176"/>
      <c r="S725" s="156"/>
      <c r="T725" s="176" t="s">
        <v>84</v>
      </c>
      <c r="U725" s="182">
        <f t="shared" si="201"/>
        <v>0</v>
      </c>
      <c r="V725" s="178">
        <v>20000</v>
      </c>
      <c r="W725" s="182">
        <f t="shared" si="199"/>
        <v>20000</v>
      </c>
      <c r="X725" s="178">
        <v>3000</v>
      </c>
      <c r="Y725" s="182">
        <f t="shared" si="200"/>
        <v>17000</v>
      </c>
      <c r="Z725" s="183"/>
      <c r="AA725" s="158"/>
      <c r="AB725" s="158"/>
      <c r="AC725" s="158"/>
    </row>
    <row r="726" spans="1:29" ht="18" customHeight="1" x14ac:dyDescent="0.2">
      <c r="A726" s="163"/>
      <c r="B726" s="189" t="s">
        <v>92</v>
      </c>
      <c r="C726" s="195">
        <f>IF($J$1="January",P720,IF($J$1="February",P721,IF($J$1="March",P722,IF($J$1="April",P723,IF($J$1="May",P724,IF($J$1="June",P725,IF($J$1="July",P726,IF($J$1="August",P727,IF($J$1="August",P727,IF($J$1="September",P728,IF($J$1="October",P729,IF($J$1="November",P730,IF($J$1="December",P731)))))))))))))</f>
        <v>30</v>
      </c>
      <c r="D726" s="149"/>
      <c r="E726" s="149"/>
      <c r="F726" s="189" t="s">
        <v>109</v>
      </c>
      <c r="G726" s="190">
        <f>IF($J$1="January",W720,IF($J$1="February",W721,IF($J$1="March",W722,IF($J$1="April",W723,IF($J$1="May",W724,IF($J$1="June",W725,IF($J$1="July",W726,IF($J$1="August",W727,IF($J$1="August",W727,IF($J$1="September",W728,IF($J$1="October",W729,IF($J$1="November",W730,IF($J$1="December",W731)))))))))))))</f>
        <v>11000</v>
      </c>
      <c r="H726" s="187"/>
      <c r="I726" s="528" t="s">
        <v>110</v>
      </c>
      <c r="J726" s="503"/>
      <c r="K726" s="190">
        <f>K724+K725</f>
        <v>41166.666666666664</v>
      </c>
      <c r="L726" s="196"/>
      <c r="M726" s="158"/>
      <c r="N726" s="175"/>
      <c r="O726" s="176" t="s">
        <v>111</v>
      </c>
      <c r="P726" s="176">
        <v>31</v>
      </c>
      <c r="Q726" s="176">
        <v>0</v>
      </c>
      <c r="R726" s="176">
        <f>IF(Q726="","",R725-Q726)</f>
        <v>0</v>
      </c>
      <c r="S726" s="156"/>
      <c r="T726" s="176" t="s">
        <v>111</v>
      </c>
      <c r="U726" s="182">
        <f>Y725</f>
        <v>17000</v>
      </c>
      <c r="V726" s="178"/>
      <c r="W726" s="182">
        <f t="shared" si="199"/>
        <v>17000</v>
      </c>
      <c r="X726" s="178">
        <v>3000</v>
      </c>
      <c r="Y726" s="182">
        <f t="shared" si="200"/>
        <v>14000</v>
      </c>
      <c r="Z726" s="183"/>
      <c r="AA726" s="158"/>
      <c r="AB726" s="158"/>
      <c r="AC726" s="158"/>
    </row>
    <row r="727" spans="1:29" ht="18" customHeight="1" x14ac:dyDescent="0.2">
      <c r="A727" s="163"/>
      <c r="B727" s="189" t="s">
        <v>93</v>
      </c>
      <c r="C727" s="195">
        <f>IF($J$1="January",Q720,IF($J$1="February",Q721,IF($J$1="March",Q722,IF($J$1="April",Q723,IF($J$1="May",Q724,IF($J$1="June",Q725,IF($J$1="July",Q726,IF($J$1="August",Q727,IF($J$1="August",Q727,IF($J$1="September",Q728,IF($J$1="October",Q729,IF($J$1="November",Q730,IF($J$1="December",Q731)))))))))))))</f>
        <v>0</v>
      </c>
      <c r="D727" s="149"/>
      <c r="E727" s="149"/>
      <c r="F727" s="189" t="s">
        <v>11</v>
      </c>
      <c r="G727" s="190">
        <f>IF($J$1="January",X720,IF($J$1="February",X721,IF($J$1="March",X722,IF($J$1="April",X723,IF($J$1="May",X724,IF($J$1="June",X725,IF($J$1="July",X726,IF($J$1="August",X727,IF($J$1="August",X727,IF($J$1="September",X728,IF($J$1="October",X729,IF($J$1="November",X730,IF($J$1="December",X731)))))))))))))</f>
        <v>3000</v>
      </c>
      <c r="H727" s="187"/>
      <c r="I727" s="528" t="s">
        <v>112</v>
      </c>
      <c r="J727" s="503"/>
      <c r="K727" s="190">
        <f>G727</f>
        <v>3000</v>
      </c>
      <c r="L727" s="196"/>
      <c r="M727" s="158"/>
      <c r="N727" s="175"/>
      <c r="O727" s="176" t="s">
        <v>113</v>
      </c>
      <c r="P727" s="176">
        <v>31</v>
      </c>
      <c r="Q727" s="176">
        <v>0</v>
      </c>
      <c r="R727" s="176">
        <v>0</v>
      </c>
      <c r="S727" s="156"/>
      <c r="T727" s="176" t="s">
        <v>113</v>
      </c>
      <c r="U727" s="182">
        <f>Y726</f>
        <v>14000</v>
      </c>
      <c r="V727" s="178"/>
      <c r="W727" s="182">
        <f t="shared" si="199"/>
        <v>14000</v>
      </c>
      <c r="X727" s="178">
        <v>3000</v>
      </c>
      <c r="Y727" s="182">
        <f t="shared" si="200"/>
        <v>11000</v>
      </c>
      <c r="Z727" s="183"/>
      <c r="AA727" s="158"/>
      <c r="AB727" s="158"/>
      <c r="AC727" s="158"/>
    </row>
    <row r="728" spans="1:29" ht="18" customHeight="1" x14ac:dyDescent="0.2">
      <c r="A728" s="163"/>
      <c r="B728" s="204" t="s">
        <v>114</v>
      </c>
      <c r="C728" s="195">
        <f>IF($J$1="January",R720,IF($J$1="February",R721,IF($J$1="March",R722,IF($J$1="April",R723,IF($J$1="May",R724,IF($J$1="June",R725,IF($J$1="July",R726,IF($J$1="August",R727,IF($J$1="August",R727,IF($J$1="September",R728,IF($J$1="October",R729,IF($J$1="November",R730,IF($J$1="December",R731)))))))))))))</f>
        <v>0</v>
      </c>
      <c r="D728" s="149"/>
      <c r="E728" s="149"/>
      <c r="F728" s="204" t="s">
        <v>115</v>
      </c>
      <c r="G728" s="190">
        <f>IF($J$1="January",Y720,IF($J$1="February",Y721,IF($J$1="March",Y722,IF($J$1="April",Y723,IF($J$1="May",Y724,IF($J$1="June",Y725,IF($J$1="July",Y726,IF($J$1="August",Y727,IF($J$1="August",Y727,IF($J$1="September",Y728,IF($J$1="October",Y729,IF($J$1="November",Y730,IF($J$1="December",Y731)))))))))))))</f>
        <v>8000</v>
      </c>
      <c r="H728" s="149"/>
      <c r="I728" s="529" t="s">
        <v>13</v>
      </c>
      <c r="J728" s="503"/>
      <c r="K728" s="37">
        <f>K726-K727</f>
        <v>38166.666666666664</v>
      </c>
      <c r="L728" s="180"/>
      <c r="M728" s="158"/>
      <c r="N728" s="175"/>
      <c r="O728" s="176" t="s">
        <v>116</v>
      </c>
      <c r="P728" s="176">
        <v>30</v>
      </c>
      <c r="Q728" s="176">
        <v>0</v>
      </c>
      <c r="R728" s="176">
        <v>0</v>
      </c>
      <c r="S728" s="156"/>
      <c r="T728" s="176" t="s">
        <v>116</v>
      </c>
      <c r="U728" s="182">
        <f>IF($J$1="September",Y727,"")</f>
        <v>11000</v>
      </c>
      <c r="V728" s="178"/>
      <c r="W728" s="182">
        <f t="shared" si="199"/>
        <v>11000</v>
      </c>
      <c r="X728" s="178">
        <v>3000</v>
      </c>
      <c r="Y728" s="182">
        <f t="shared" si="200"/>
        <v>8000</v>
      </c>
      <c r="Z728" s="183"/>
      <c r="AA728" s="158"/>
      <c r="AB728" s="158"/>
      <c r="AC728" s="158"/>
    </row>
    <row r="729" spans="1:29" ht="18" customHeight="1" x14ac:dyDescent="0.2">
      <c r="A729" s="163"/>
      <c r="B729" s="149"/>
      <c r="C729" s="149"/>
      <c r="D729" s="149"/>
      <c r="E729" s="149"/>
      <c r="F729" s="149"/>
      <c r="G729" s="158"/>
      <c r="H729" s="158"/>
      <c r="I729" s="530"/>
      <c r="J729" s="531"/>
      <c r="K729" s="151"/>
      <c r="L729" s="186"/>
      <c r="M729" s="158"/>
      <c r="N729" s="175"/>
      <c r="O729" s="176" t="s">
        <v>117</v>
      </c>
      <c r="P729" s="176"/>
      <c r="Q729" s="176"/>
      <c r="R729" s="176">
        <v>0</v>
      </c>
      <c r="S729" s="156"/>
      <c r="T729" s="176" t="s">
        <v>117</v>
      </c>
      <c r="U729" s="182"/>
      <c r="V729" s="178"/>
      <c r="W729" s="182" t="str">
        <f t="shared" si="199"/>
        <v/>
      </c>
      <c r="X729" s="178"/>
      <c r="Y729" s="182" t="str">
        <f t="shared" si="200"/>
        <v/>
      </c>
      <c r="Z729" s="183"/>
      <c r="AA729" s="158"/>
      <c r="AB729" s="158"/>
      <c r="AC729" s="158"/>
    </row>
    <row r="730" spans="1:29" ht="18" customHeight="1" x14ac:dyDescent="0.3">
      <c r="A730" s="163"/>
      <c r="B730" s="147"/>
      <c r="C730" s="147"/>
      <c r="D730" s="147"/>
      <c r="E730" s="147"/>
      <c r="F730" s="147"/>
      <c r="G730" s="147"/>
      <c r="H730" s="147"/>
      <c r="I730" s="530"/>
      <c r="J730" s="531"/>
      <c r="K730" s="151"/>
      <c r="L730" s="186"/>
      <c r="M730" s="158"/>
      <c r="N730" s="175"/>
      <c r="O730" s="176" t="s">
        <v>118</v>
      </c>
      <c r="P730" s="176"/>
      <c r="Q730" s="176"/>
      <c r="R730" s="176">
        <v>0</v>
      </c>
      <c r="S730" s="156"/>
      <c r="T730" s="176" t="s">
        <v>118</v>
      </c>
      <c r="U730" s="182"/>
      <c r="V730" s="178"/>
      <c r="W730" s="182" t="str">
        <f t="shared" si="199"/>
        <v/>
      </c>
      <c r="X730" s="178"/>
      <c r="Y730" s="182" t="str">
        <f t="shared" si="200"/>
        <v/>
      </c>
      <c r="Z730" s="183"/>
      <c r="AA730" s="158"/>
      <c r="AB730" s="158"/>
      <c r="AC730" s="158"/>
    </row>
    <row r="731" spans="1:29" ht="18" customHeight="1" thickBot="1" x14ac:dyDescent="0.35">
      <c r="A731" s="197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9"/>
      <c r="M731" s="158"/>
      <c r="N731" s="175"/>
      <c r="O731" s="176" t="s">
        <v>119</v>
      </c>
      <c r="P731" s="176"/>
      <c r="Q731" s="176"/>
      <c r="R731" s="176" t="str">
        <f>IF(Q731="","",R730-Q731)</f>
        <v/>
      </c>
      <c r="S731" s="156"/>
      <c r="T731" s="176" t="s">
        <v>119</v>
      </c>
      <c r="U731" s="182" t="str">
        <f>IF($J$1="November","",Y730)</f>
        <v/>
      </c>
      <c r="V731" s="178"/>
      <c r="W731" s="182" t="str">
        <f t="shared" si="199"/>
        <v/>
      </c>
      <c r="X731" s="178"/>
      <c r="Y731" s="182" t="str">
        <f t="shared" si="200"/>
        <v/>
      </c>
      <c r="Z731" s="183"/>
      <c r="AA731" s="158"/>
      <c r="AB731" s="158"/>
      <c r="AC731" s="158"/>
    </row>
    <row r="732" spans="1:29" ht="18" customHeight="1" thickBot="1" x14ac:dyDescent="0.25">
      <c r="A732" s="200"/>
      <c r="B732" s="200"/>
      <c r="C732" s="200"/>
      <c r="D732" s="200"/>
      <c r="E732" s="200"/>
      <c r="F732" s="200"/>
      <c r="G732" s="200"/>
      <c r="H732" s="200"/>
      <c r="I732" s="200"/>
      <c r="J732" s="200"/>
      <c r="K732" s="200"/>
      <c r="L732" s="200"/>
      <c r="M732" s="201"/>
      <c r="N732" s="202"/>
      <c r="O732" s="202"/>
      <c r="P732" s="202"/>
      <c r="Q732" s="202"/>
      <c r="R732" s="202"/>
      <c r="S732" s="202"/>
      <c r="T732" s="202"/>
      <c r="U732" s="202"/>
      <c r="V732" s="202"/>
      <c r="W732" s="202"/>
      <c r="X732" s="202"/>
      <c r="Y732" s="202"/>
      <c r="Z732" s="202"/>
      <c r="AA732" s="201"/>
      <c r="AB732" s="201"/>
      <c r="AC732" s="201"/>
    </row>
    <row r="733" spans="1:29" ht="18" customHeight="1" x14ac:dyDescent="0.2">
      <c r="A733" s="565" t="s">
        <v>87</v>
      </c>
      <c r="B733" s="538"/>
      <c r="C733" s="538"/>
      <c r="D733" s="538"/>
      <c r="E733" s="538"/>
      <c r="F733" s="538"/>
      <c r="G733" s="538"/>
      <c r="H733" s="538"/>
      <c r="I733" s="538"/>
      <c r="J733" s="538"/>
      <c r="K733" s="538"/>
      <c r="L733" s="539"/>
      <c r="M733" s="159"/>
      <c r="N733" s="160"/>
      <c r="O733" s="524" t="s">
        <v>88</v>
      </c>
      <c r="P733" s="525"/>
      <c r="Q733" s="525"/>
      <c r="R733" s="526"/>
      <c r="S733" s="161"/>
      <c r="T733" s="524" t="s">
        <v>89</v>
      </c>
      <c r="U733" s="525"/>
      <c r="V733" s="525"/>
      <c r="W733" s="525"/>
      <c r="X733" s="525"/>
      <c r="Y733" s="526"/>
      <c r="Z733" s="162"/>
      <c r="AA733" s="159"/>
      <c r="AB733" s="158"/>
      <c r="AC733" s="158"/>
    </row>
    <row r="734" spans="1:29" ht="18" customHeight="1" x14ac:dyDescent="0.2">
      <c r="A734" s="163"/>
      <c r="B734" s="149"/>
      <c r="C734" s="535" t="s">
        <v>213</v>
      </c>
      <c r="D734" s="531"/>
      <c r="E734" s="531"/>
      <c r="F734" s="531"/>
      <c r="G734" s="164" t="str">
        <f>$J$1</f>
        <v>September</v>
      </c>
      <c r="H734" s="536">
        <f>$K$1</f>
        <v>2024</v>
      </c>
      <c r="I734" s="531"/>
      <c r="J734" s="149"/>
      <c r="K734" s="165"/>
      <c r="L734" s="166"/>
      <c r="M734" s="167"/>
      <c r="N734" s="168"/>
      <c r="O734" s="169" t="s">
        <v>91</v>
      </c>
      <c r="P734" s="169" t="s">
        <v>92</v>
      </c>
      <c r="Q734" s="169" t="s">
        <v>93</v>
      </c>
      <c r="R734" s="169" t="s">
        <v>94</v>
      </c>
      <c r="S734" s="170"/>
      <c r="T734" s="169" t="s">
        <v>91</v>
      </c>
      <c r="U734" s="169" t="s">
        <v>95</v>
      </c>
      <c r="V734" s="169" t="s">
        <v>9</v>
      </c>
      <c r="W734" s="169" t="s">
        <v>10</v>
      </c>
      <c r="X734" s="169" t="s">
        <v>11</v>
      </c>
      <c r="Y734" s="169" t="s">
        <v>96</v>
      </c>
      <c r="Z734" s="171"/>
      <c r="AA734" s="167"/>
      <c r="AB734" s="158"/>
      <c r="AC734" s="158"/>
    </row>
    <row r="735" spans="1:29" ht="18" customHeight="1" x14ac:dyDescent="0.2">
      <c r="A735" s="163"/>
      <c r="B735" s="149"/>
      <c r="C735" s="149"/>
      <c r="D735" s="172"/>
      <c r="E735" s="172"/>
      <c r="F735" s="172"/>
      <c r="G735" s="172"/>
      <c r="H735" s="172"/>
      <c r="I735" s="149"/>
      <c r="J735" s="173" t="s">
        <v>97</v>
      </c>
      <c r="K735" s="151">
        <f>32000+3000</f>
        <v>35000</v>
      </c>
      <c r="L735" s="174"/>
      <c r="M735" s="158"/>
      <c r="N735" s="175"/>
      <c r="O735" s="176" t="s">
        <v>98</v>
      </c>
      <c r="P735" s="176">
        <v>27</v>
      </c>
      <c r="Q735" s="176">
        <v>4</v>
      </c>
      <c r="R735" s="176">
        <v>0</v>
      </c>
      <c r="S735" s="177"/>
      <c r="T735" s="176" t="s">
        <v>98</v>
      </c>
      <c r="U735" s="178"/>
      <c r="V735" s="178"/>
      <c r="W735" s="178">
        <f>V735+U735</f>
        <v>0</v>
      </c>
      <c r="X735" s="178"/>
      <c r="Y735" s="178">
        <f>W735-X735</f>
        <v>0</v>
      </c>
      <c r="Z735" s="171"/>
      <c r="AA735" s="158"/>
      <c r="AB735" s="158"/>
      <c r="AC735" s="158"/>
    </row>
    <row r="736" spans="1:29" ht="18" customHeight="1" x14ac:dyDescent="0.2">
      <c r="A736" s="163"/>
      <c r="B736" s="149" t="s">
        <v>99</v>
      </c>
      <c r="C736" s="148" t="s">
        <v>214</v>
      </c>
      <c r="D736" s="149"/>
      <c r="E736" s="149"/>
      <c r="F736" s="149"/>
      <c r="G736" s="149"/>
      <c r="H736" s="179"/>
      <c r="I736" s="172"/>
      <c r="J736" s="149"/>
      <c r="K736" s="149"/>
      <c r="L736" s="180"/>
      <c r="M736" s="159"/>
      <c r="N736" s="181"/>
      <c r="O736" s="176" t="s">
        <v>100</v>
      </c>
      <c r="P736" s="176">
        <v>28</v>
      </c>
      <c r="Q736" s="176">
        <v>1</v>
      </c>
      <c r="R736" s="176">
        <v>0</v>
      </c>
      <c r="S736" s="156"/>
      <c r="T736" s="176" t="s">
        <v>100</v>
      </c>
      <c r="U736" s="182"/>
      <c r="V736" s="178"/>
      <c r="W736" s="182" t="str">
        <f t="shared" ref="W736:W746" si="202">IF(U736="","",U736+V736)</f>
        <v/>
      </c>
      <c r="X736" s="178"/>
      <c r="Y736" s="182" t="str">
        <f t="shared" ref="Y736:Y746" si="203">IF(W736="","",W736-X736)</f>
        <v/>
      </c>
      <c r="Z736" s="183"/>
      <c r="AA736" s="159"/>
      <c r="AB736" s="158"/>
      <c r="AC736" s="158"/>
    </row>
    <row r="737" spans="1:29" ht="18" customHeight="1" x14ac:dyDescent="0.2">
      <c r="A737" s="163"/>
      <c r="B737" s="184" t="s">
        <v>101</v>
      </c>
      <c r="C737" s="185"/>
      <c r="D737" s="149"/>
      <c r="E737" s="149"/>
      <c r="F737" s="529" t="s">
        <v>89</v>
      </c>
      <c r="G737" s="503"/>
      <c r="H737" s="149"/>
      <c r="I737" s="529" t="s">
        <v>102</v>
      </c>
      <c r="J737" s="502"/>
      <c r="K737" s="503"/>
      <c r="L737" s="186"/>
      <c r="M737" s="158"/>
      <c r="N737" s="175"/>
      <c r="O737" s="176" t="s">
        <v>103</v>
      </c>
      <c r="P737" s="176">
        <v>31</v>
      </c>
      <c r="Q737" s="176">
        <v>0</v>
      </c>
      <c r="R737" s="176">
        <f t="shared" ref="R737:R746" si="204">IF(Q737="","",R736-Q737)</f>
        <v>0</v>
      </c>
      <c r="S737" s="156"/>
      <c r="T737" s="176" t="s">
        <v>103</v>
      </c>
      <c r="U737" s="182"/>
      <c r="V737" s="178"/>
      <c r="W737" s="182" t="str">
        <f t="shared" si="202"/>
        <v/>
      </c>
      <c r="X737" s="178"/>
      <c r="Y737" s="182" t="str">
        <f t="shared" si="203"/>
        <v/>
      </c>
      <c r="Z737" s="183"/>
      <c r="AA737" s="158"/>
      <c r="AB737" s="158"/>
      <c r="AC737" s="158"/>
    </row>
    <row r="738" spans="1:29" ht="18" customHeight="1" x14ac:dyDescent="0.2">
      <c r="A738" s="163"/>
      <c r="B738" s="149"/>
      <c r="C738" s="149"/>
      <c r="D738" s="149"/>
      <c r="E738" s="149"/>
      <c r="F738" s="149"/>
      <c r="G738" s="149"/>
      <c r="H738" s="187"/>
      <c r="I738" s="149"/>
      <c r="J738" s="149"/>
      <c r="K738" s="149"/>
      <c r="L738" s="188"/>
      <c r="M738" s="158"/>
      <c r="N738" s="175"/>
      <c r="O738" s="176" t="s">
        <v>104</v>
      </c>
      <c r="P738" s="176">
        <v>30</v>
      </c>
      <c r="Q738" s="176">
        <v>0</v>
      </c>
      <c r="R738" s="176">
        <f t="shared" si="204"/>
        <v>0</v>
      </c>
      <c r="S738" s="156"/>
      <c r="T738" s="176" t="s">
        <v>104</v>
      </c>
      <c r="U738" s="182"/>
      <c r="V738" s="178"/>
      <c r="W738" s="182" t="str">
        <f t="shared" si="202"/>
        <v/>
      </c>
      <c r="X738" s="178"/>
      <c r="Y738" s="182" t="str">
        <f t="shared" si="203"/>
        <v/>
      </c>
      <c r="Z738" s="183"/>
      <c r="AA738" s="158"/>
      <c r="AB738" s="158"/>
      <c r="AC738" s="158"/>
    </row>
    <row r="739" spans="1:29" ht="18" customHeight="1" x14ac:dyDescent="0.2">
      <c r="A739" s="163"/>
      <c r="B739" s="527" t="s">
        <v>88</v>
      </c>
      <c r="C739" s="503"/>
      <c r="D739" s="149"/>
      <c r="E739" s="149"/>
      <c r="F739" s="189" t="s">
        <v>105</v>
      </c>
      <c r="G739" s="190">
        <f>IF($J$1="January",U735,IF($J$1="February",U736,IF($J$1="March",U737,IF($J$1="April",U738,IF($J$1="May",U739,IF($J$1="June",U740,IF($J$1="July",U741,IF($J$1="August",U742,IF($J$1="August",U742,IF($J$1="September",U743,IF($J$1="October",U744,IF($J$1="November",U745,IF($J$1="December",U746)))))))))))))</f>
        <v>0</v>
      </c>
      <c r="H739" s="187"/>
      <c r="I739" s="191">
        <f>IF(C743&gt;0,$K$2,C741)</f>
        <v>26</v>
      </c>
      <c r="J739" s="192" t="s">
        <v>106</v>
      </c>
      <c r="K739" s="193">
        <f>K735/$K$2*I739</f>
        <v>30333.333333333336</v>
      </c>
      <c r="L739" s="194"/>
      <c r="M739" s="158"/>
      <c r="N739" s="175"/>
      <c r="O739" s="176" t="s">
        <v>107</v>
      </c>
      <c r="P739" s="176">
        <v>31</v>
      </c>
      <c r="Q739" s="176">
        <v>0</v>
      </c>
      <c r="R739" s="176">
        <f t="shared" si="204"/>
        <v>0</v>
      </c>
      <c r="S739" s="156"/>
      <c r="T739" s="176" t="s">
        <v>107</v>
      </c>
      <c r="U739" s="182"/>
      <c r="V739" s="178"/>
      <c r="W739" s="182" t="str">
        <f t="shared" si="202"/>
        <v/>
      </c>
      <c r="X739" s="178"/>
      <c r="Y739" s="182" t="str">
        <f t="shared" si="203"/>
        <v/>
      </c>
      <c r="Z739" s="183"/>
      <c r="AA739" s="158"/>
      <c r="AB739" s="158"/>
      <c r="AC739" s="158"/>
    </row>
    <row r="740" spans="1:29" ht="18" customHeight="1" x14ac:dyDescent="0.2">
      <c r="A740" s="163"/>
      <c r="B740" s="195"/>
      <c r="C740" s="195"/>
      <c r="D740" s="149"/>
      <c r="E740" s="149"/>
      <c r="F740" s="189" t="s">
        <v>9</v>
      </c>
      <c r="G740" s="190">
        <f>IF($J$1="January",V735,IF($J$1="February",V736,IF($J$1="March",V737,IF($J$1="April",V738,IF($J$1="May",V739,IF($J$1="June",V740,IF($J$1="July",V741,IF($J$1="August",V742,IF($J$1="August",V742,IF($J$1="September",V743,IF($J$1="October",V744,IF($J$1="November",V745,IF($J$1="December",V746)))))))))))))</f>
        <v>0</v>
      </c>
      <c r="H740" s="187"/>
      <c r="I740" s="191">
        <v>14</v>
      </c>
      <c r="J740" s="192" t="s">
        <v>108</v>
      </c>
      <c r="K740" s="190">
        <f>K735/$K$2/8*I740</f>
        <v>2041.6666666666667</v>
      </c>
      <c r="L740" s="196"/>
      <c r="M740" s="158"/>
      <c r="N740" s="175"/>
      <c r="O740" s="176" t="s">
        <v>84</v>
      </c>
      <c r="P740" s="176">
        <v>28</v>
      </c>
      <c r="Q740" s="176">
        <v>2</v>
      </c>
      <c r="R740" s="176">
        <v>0</v>
      </c>
      <c r="S740" s="156"/>
      <c r="T740" s="176" t="s">
        <v>84</v>
      </c>
      <c r="U740" s="182"/>
      <c r="V740" s="178"/>
      <c r="W740" s="182" t="str">
        <f t="shared" si="202"/>
        <v/>
      </c>
      <c r="X740" s="178"/>
      <c r="Y740" s="182" t="str">
        <f t="shared" si="203"/>
        <v/>
      </c>
      <c r="Z740" s="183"/>
      <c r="AA740" s="158"/>
      <c r="AB740" s="158"/>
      <c r="AC740" s="158"/>
    </row>
    <row r="741" spans="1:29" ht="18" customHeight="1" x14ac:dyDescent="0.2">
      <c r="A741" s="163"/>
      <c r="B741" s="189" t="s">
        <v>92</v>
      </c>
      <c r="C741" s="195">
        <f>IF($J$1="January",P735,IF($J$1="February",P736,IF($J$1="March",P737,IF($J$1="April",P738,IF($J$1="May",P739,IF($J$1="June",P740,IF($J$1="July",P741,IF($J$1="August",P742,IF($J$1="August",P742,IF($J$1="September",P743,IF($J$1="October",P744,IF($J$1="November",P745,IF($J$1="December",P746)))))))))))))</f>
        <v>26</v>
      </c>
      <c r="D741" s="149"/>
      <c r="E741" s="149"/>
      <c r="F741" s="189" t="s">
        <v>109</v>
      </c>
      <c r="G741" s="190" t="str">
        <f>IF($J$1="January",W735,IF($J$1="February",W736,IF($J$1="March",W737,IF($J$1="April",W738,IF($J$1="May",W739,IF($J$1="June",W740,IF($J$1="July",W741,IF($J$1="August",W742,IF($J$1="August",W742,IF($J$1="September",W743,IF($J$1="October",W744,IF($J$1="November",W745,IF($J$1="December",W746)))))))))))))</f>
        <v/>
      </c>
      <c r="H741" s="187"/>
      <c r="I741" s="528" t="s">
        <v>110</v>
      </c>
      <c r="J741" s="503"/>
      <c r="K741" s="190">
        <f>K739+K740</f>
        <v>32375.000000000004</v>
      </c>
      <c r="L741" s="196"/>
      <c r="M741" s="158"/>
      <c r="N741" s="175"/>
      <c r="O741" s="176" t="s">
        <v>111</v>
      </c>
      <c r="P741" s="176">
        <v>29</v>
      </c>
      <c r="Q741" s="176">
        <v>2</v>
      </c>
      <c r="R741" s="176">
        <v>0</v>
      </c>
      <c r="S741" s="156"/>
      <c r="T741" s="176" t="s">
        <v>111</v>
      </c>
      <c r="U741" s="182"/>
      <c r="V741" s="178"/>
      <c r="W741" s="182" t="str">
        <f t="shared" si="202"/>
        <v/>
      </c>
      <c r="X741" s="178"/>
      <c r="Y741" s="182" t="str">
        <f t="shared" si="203"/>
        <v/>
      </c>
      <c r="Z741" s="183"/>
      <c r="AA741" s="158"/>
      <c r="AB741" s="158"/>
      <c r="AC741" s="158"/>
    </row>
    <row r="742" spans="1:29" ht="18" customHeight="1" x14ac:dyDescent="0.2">
      <c r="A742" s="163"/>
      <c r="B742" s="189" t="s">
        <v>93</v>
      </c>
      <c r="C742" s="195">
        <f>IF($J$1="January",Q735,IF($J$1="February",Q736,IF($J$1="March",Q737,IF($J$1="April",Q738,IF($J$1="May",Q739,IF($J$1="June",Q740,IF($J$1="July",Q741,IF($J$1="August",Q742,IF($J$1="August",Q742,IF($J$1="September",Q743,IF($J$1="October",Q744,IF($J$1="November",Q745,IF($J$1="December",Q746)))))))))))))</f>
        <v>4</v>
      </c>
      <c r="D742" s="149"/>
      <c r="E742" s="149"/>
      <c r="F742" s="189" t="s">
        <v>11</v>
      </c>
      <c r="G742" s="190">
        <f>IF($J$1="January",X735,IF($J$1="February",X736,IF($J$1="March",X737,IF($J$1="April",X738,IF($J$1="May",X739,IF($J$1="June",X740,IF($J$1="July",X741,IF($J$1="August",X742,IF($J$1="August",X742,IF($J$1="September",X743,IF($J$1="October",X744,IF($J$1="November",X745,IF($J$1="December",X746)))))))))))))</f>
        <v>0</v>
      </c>
      <c r="H742" s="187"/>
      <c r="I742" s="528" t="s">
        <v>112</v>
      </c>
      <c r="J742" s="503"/>
      <c r="K742" s="190">
        <f>G742</f>
        <v>0</v>
      </c>
      <c r="L742" s="196"/>
      <c r="M742" s="158"/>
      <c r="N742" s="175"/>
      <c r="O742" s="176" t="s">
        <v>113</v>
      </c>
      <c r="P742" s="176">
        <v>29</v>
      </c>
      <c r="Q742" s="176">
        <v>2</v>
      </c>
      <c r="R742" s="176">
        <v>0</v>
      </c>
      <c r="S742" s="156"/>
      <c r="T742" s="176" t="s">
        <v>113</v>
      </c>
      <c r="U742" s="182" t="str">
        <f t="shared" ref="U742" si="205">IF($J$1="May",Y741,Y741)</f>
        <v/>
      </c>
      <c r="V742" s="178">
        <v>20000</v>
      </c>
      <c r="W742" s="182">
        <v>20000</v>
      </c>
      <c r="X742" s="178">
        <v>20000</v>
      </c>
      <c r="Y742" s="182">
        <f t="shared" si="203"/>
        <v>0</v>
      </c>
      <c r="Z742" s="183"/>
      <c r="AA742" s="158"/>
      <c r="AB742" s="158"/>
      <c r="AC742" s="158"/>
    </row>
    <row r="743" spans="1:29" ht="18" customHeight="1" x14ac:dyDescent="0.2">
      <c r="A743" s="163"/>
      <c r="B743" s="212" t="s">
        <v>114</v>
      </c>
      <c r="C743" s="195">
        <f>IF($J$1="January",R735,IF($J$1="February",R736,IF($J$1="March",R737,IF($J$1="April",R738,IF($J$1="May",R739,IF($J$1="June",R740,IF($J$1="July",R741,IF($J$1="August",R742,IF($J$1="August",R742,IF($J$1="September",R743,IF($J$1="October",R744,IF($J$1="November",R745,IF($J$1="December",R746)))))))))))))</f>
        <v>0</v>
      </c>
      <c r="D743" s="149"/>
      <c r="E743" s="149"/>
      <c r="F743" s="189" t="s">
        <v>167</v>
      </c>
      <c r="G743" s="190" t="str">
        <f>IF($J$1="January",Y735,IF($J$1="February",Y736,IF($J$1="March",Y737,IF($J$1="April",Y738,IF($J$1="May",Y739,IF($J$1="June",Y740,IF($J$1="July",Y741,IF($J$1="August",Y742,IF($J$1="August",Y742,IF($J$1="September",Y743,IF($J$1="October",Y744,IF($J$1="November",Y745,IF($J$1="December",Y746)))))))))))))</f>
        <v/>
      </c>
      <c r="H743" s="149"/>
      <c r="I743" s="529" t="s">
        <v>13</v>
      </c>
      <c r="J743" s="503"/>
      <c r="K743" s="37">
        <f>K741-K742</f>
        <v>32375.000000000004</v>
      </c>
      <c r="L743" s="180"/>
      <c r="M743" s="158"/>
      <c r="N743" s="175"/>
      <c r="O743" s="176" t="s">
        <v>116</v>
      </c>
      <c r="P743" s="176">
        <v>26</v>
      </c>
      <c r="Q743" s="176">
        <v>4</v>
      </c>
      <c r="R743" s="176">
        <v>0</v>
      </c>
      <c r="S743" s="156"/>
      <c r="T743" s="176" t="s">
        <v>116</v>
      </c>
      <c r="U743" s="182"/>
      <c r="V743" s="178"/>
      <c r="W743" s="182" t="str">
        <f t="shared" si="202"/>
        <v/>
      </c>
      <c r="X743" s="178"/>
      <c r="Y743" s="182" t="str">
        <f t="shared" si="203"/>
        <v/>
      </c>
      <c r="Z743" s="183"/>
      <c r="AA743" s="158"/>
      <c r="AB743" s="158"/>
      <c r="AC743" s="158"/>
    </row>
    <row r="744" spans="1:29" ht="18" customHeight="1" x14ac:dyDescent="0.2">
      <c r="A744" s="163"/>
      <c r="B744" s="149"/>
      <c r="C744" s="149"/>
      <c r="D744" s="149"/>
      <c r="E744" s="149"/>
      <c r="F744" s="149"/>
      <c r="G744" s="149"/>
      <c r="H744" s="149"/>
      <c r="I744" s="530"/>
      <c r="J744" s="531"/>
      <c r="K744" s="151"/>
      <c r="L744" s="186"/>
      <c r="M744" s="158"/>
      <c r="N744" s="175"/>
      <c r="O744" s="176" t="s">
        <v>117</v>
      </c>
      <c r="P744" s="176"/>
      <c r="Q744" s="176"/>
      <c r="R744" s="176" t="str">
        <f t="shared" si="204"/>
        <v/>
      </c>
      <c r="S744" s="156"/>
      <c r="T744" s="176" t="s">
        <v>117</v>
      </c>
      <c r="U744" s="182"/>
      <c r="V744" s="178"/>
      <c r="W744" s="182" t="str">
        <f t="shared" si="202"/>
        <v/>
      </c>
      <c r="X744" s="178"/>
      <c r="Y744" s="182" t="str">
        <f t="shared" si="203"/>
        <v/>
      </c>
      <c r="Z744" s="183"/>
      <c r="AA744" s="158"/>
      <c r="AB744" s="158"/>
      <c r="AC744" s="158"/>
    </row>
    <row r="745" spans="1:29" ht="18" customHeight="1" x14ac:dyDescent="0.3">
      <c r="A745" s="163"/>
      <c r="B745" s="147"/>
      <c r="C745" s="147"/>
      <c r="D745" s="147"/>
      <c r="E745" s="147"/>
      <c r="F745" s="147"/>
      <c r="G745" s="147"/>
      <c r="H745" s="147"/>
      <c r="I745" s="530"/>
      <c r="J745" s="531"/>
      <c r="K745" s="151"/>
      <c r="L745" s="186"/>
      <c r="M745" s="158"/>
      <c r="N745" s="175"/>
      <c r="O745" s="176" t="s">
        <v>118</v>
      </c>
      <c r="P745" s="176"/>
      <c r="Q745" s="176"/>
      <c r="R745" s="176" t="str">
        <f t="shared" si="204"/>
        <v/>
      </c>
      <c r="S745" s="156"/>
      <c r="T745" s="176" t="s">
        <v>118</v>
      </c>
      <c r="U745" s="182"/>
      <c r="V745" s="178"/>
      <c r="W745" s="182" t="str">
        <f t="shared" si="202"/>
        <v/>
      </c>
      <c r="X745" s="178"/>
      <c r="Y745" s="182" t="str">
        <f t="shared" si="203"/>
        <v/>
      </c>
      <c r="Z745" s="183"/>
      <c r="AA745" s="158"/>
      <c r="AB745" s="158"/>
      <c r="AC745" s="158"/>
    </row>
    <row r="746" spans="1:29" ht="18" customHeight="1" x14ac:dyDescent="0.3">
      <c r="A746" s="163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86"/>
      <c r="M746" s="158"/>
      <c r="N746" s="175"/>
      <c r="O746" s="176" t="s">
        <v>119</v>
      </c>
      <c r="P746" s="176"/>
      <c r="Q746" s="176"/>
      <c r="R746" s="176" t="str">
        <f t="shared" si="204"/>
        <v/>
      </c>
      <c r="S746" s="156"/>
      <c r="T746" s="176" t="s">
        <v>119</v>
      </c>
      <c r="U746" s="182"/>
      <c r="V746" s="178"/>
      <c r="W746" s="182" t="str">
        <f t="shared" si="202"/>
        <v/>
      </c>
      <c r="X746" s="178"/>
      <c r="Y746" s="182" t="str">
        <f t="shared" si="203"/>
        <v/>
      </c>
      <c r="Z746" s="183"/>
      <c r="AA746" s="158"/>
      <c r="AB746" s="158"/>
      <c r="AC746" s="158"/>
    </row>
    <row r="747" spans="1:29" ht="18" customHeight="1" thickBot="1" x14ac:dyDescent="0.25">
      <c r="A747" s="197"/>
      <c r="B747" s="213"/>
      <c r="C747" s="213"/>
      <c r="D747" s="213"/>
      <c r="E747" s="213"/>
      <c r="F747" s="213"/>
      <c r="G747" s="213"/>
      <c r="H747" s="213"/>
      <c r="I747" s="213"/>
      <c r="J747" s="213"/>
      <c r="K747" s="213"/>
      <c r="L747" s="199"/>
      <c r="M747" s="158"/>
      <c r="N747" s="214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8"/>
      <c r="AA747" s="158"/>
      <c r="AB747" s="158"/>
      <c r="AC747" s="158"/>
    </row>
    <row r="748" spans="1:29" s="256" customFormat="1" ht="18" customHeight="1" thickBot="1" x14ac:dyDescent="0.25">
      <c r="A748" s="570" t="s">
        <v>87</v>
      </c>
      <c r="B748" s="571"/>
      <c r="C748" s="571"/>
      <c r="D748" s="571"/>
      <c r="E748" s="571"/>
      <c r="F748" s="571"/>
      <c r="G748" s="571"/>
      <c r="H748" s="571"/>
      <c r="I748" s="571"/>
      <c r="J748" s="571"/>
      <c r="K748" s="571"/>
      <c r="L748" s="572"/>
      <c r="M748" s="259"/>
      <c r="N748" s="260"/>
      <c r="O748" s="566" t="s">
        <v>88</v>
      </c>
      <c r="P748" s="567"/>
      <c r="Q748" s="567"/>
      <c r="R748" s="568"/>
      <c r="S748" s="261"/>
      <c r="T748" s="566" t="s">
        <v>89</v>
      </c>
      <c r="U748" s="567"/>
      <c r="V748" s="567"/>
      <c r="W748" s="567"/>
      <c r="X748" s="567"/>
      <c r="Y748" s="568"/>
      <c r="Z748" s="262"/>
      <c r="AA748" s="259"/>
      <c r="AB748" s="263"/>
      <c r="AC748" s="263"/>
    </row>
    <row r="749" spans="1:29" ht="18" customHeight="1" x14ac:dyDescent="0.2">
      <c r="A749" s="163"/>
      <c r="B749" s="149"/>
      <c r="C749" s="553" t="s">
        <v>215</v>
      </c>
      <c r="D749" s="553"/>
      <c r="E749" s="553"/>
      <c r="F749" s="553"/>
      <c r="G749" s="164" t="str">
        <f>$J$1</f>
        <v>September</v>
      </c>
      <c r="H749" s="552">
        <f>$K$1</f>
        <v>2024</v>
      </c>
      <c r="I749" s="552"/>
      <c r="J749" s="149"/>
      <c r="K749" s="165"/>
      <c r="L749" s="166"/>
      <c r="M749" s="167"/>
      <c r="N749" s="168"/>
      <c r="O749" s="169" t="s">
        <v>91</v>
      </c>
      <c r="P749" s="169" t="s">
        <v>92</v>
      </c>
      <c r="Q749" s="169" t="s">
        <v>93</v>
      </c>
      <c r="R749" s="169" t="s">
        <v>94</v>
      </c>
      <c r="S749" s="170"/>
      <c r="T749" s="169" t="s">
        <v>91</v>
      </c>
      <c r="U749" s="169" t="s">
        <v>95</v>
      </c>
      <c r="V749" s="169" t="s">
        <v>9</v>
      </c>
      <c r="W749" s="169" t="s">
        <v>10</v>
      </c>
      <c r="X749" s="169" t="s">
        <v>11</v>
      </c>
      <c r="Y749" s="169" t="s">
        <v>96</v>
      </c>
      <c r="Z749" s="171"/>
      <c r="AA749" s="167"/>
      <c r="AB749" s="158"/>
      <c r="AC749" s="158"/>
    </row>
    <row r="750" spans="1:29" ht="18" customHeight="1" x14ac:dyDescent="0.2">
      <c r="A750" s="163"/>
      <c r="B750" s="149"/>
      <c r="C750" s="149"/>
      <c r="D750" s="172"/>
      <c r="E750" s="172"/>
      <c r="F750" s="172"/>
      <c r="G750" s="172"/>
      <c r="H750" s="172"/>
      <c r="I750" s="149"/>
      <c r="J750" s="173" t="s">
        <v>97</v>
      </c>
      <c r="K750" s="151">
        <f>35000+2000</f>
        <v>37000</v>
      </c>
      <c r="L750" s="174"/>
      <c r="M750" s="158"/>
      <c r="N750" s="175"/>
      <c r="O750" s="176" t="s">
        <v>98</v>
      </c>
      <c r="P750" s="176"/>
      <c r="Q750" s="176"/>
      <c r="R750" s="176">
        <v>0</v>
      </c>
      <c r="S750" s="177"/>
      <c r="T750" s="176" t="s">
        <v>98</v>
      </c>
      <c r="U750" s="178"/>
      <c r="V750" s="178"/>
      <c r="W750" s="178"/>
      <c r="X750" s="178"/>
      <c r="Y750" s="178"/>
      <c r="Z750" s="171"/>
      <c r="AA750" s="158"/>
      <c r="AB750" s="158"/>
      <c r="AC750" s="158"/>
    </row>
    <row r="751" spans="1:29" s="276" customFormat="1" ht="18" customHeight="1" x14ac:dyDescent="0.2">
      <c r="A751" s="288"/>
      <c r="B751" s="289" t="s">
        <v>99</v>
      </c>
      <c r="C751" s="290" t="s">
        <v>307</v>
      </c>
      <c r="D751" s="289"/>
      <c r="E751" s="289"/>
      <c r="F751" s="289"/>
      <c r="G751" s="289"/>
      <c r="H751" s="291"/>
      <c r="I751" s="292"/>
      <c r="J751" s="289"/>
      <c r="K751" s="289"/>
      <c r="L751" s="293"/>
      <c r="M751" s="283"/>
      <c r="N751" s="294"/>
      <c r="O751" s="295" t="s">
        <v>100</v>
      </c>
      <c r="P751" s="295"/>
      <c r="Q751" s="295"/>
      <c r="R751" s="295">
        <v>0</v>
      </c>
      <c r="S751" s="296"/>
      <c r="T751" s="295" t="s">
        <v>100</v>
      </c>
      <c r="U751" s="297"/>
      <c r="V751" s="298"/>
      <c r="W751" s="297" t="str">
        <f t="shared" ref="W751:W761" si="206">IF(U751="","",U751+V751)</f>
        <v/>
      </c>
      <c r="X751" s="298"/>
      <c r="Y751" s="297" t="str">
        <f t="shared" ref="Y751:Y761" si="207">IF(W751="","",W751-X751)</f>
        <v/>
      </c>
      <c r="Z751" s="299"/>
      <c r="AA751" s="283"/>
      <c r="AB751" s="287"/>
      <c r="AC751" s="287"/>
    </row>
    <row r="752" spans="1:29" ht="18" customHeight="1" x14ac:dyDescent="0.2">
      <c r="A752" s="163"/>
      <c r="B752" s="184" t="s">
        <v>101</v>
      </c>
      <c r="C752" s="210">
        <v>45512</v>
      </c>
      <c r="D752" s="149"/>
      <c r="E752" s="149"/>
      <c r="F752" s="549" t="s">
        <v>89</v>
      </c>
      <c r="G752" s="551"/>
      <c r="H752" s="149"/>
      <c r="I752" s="549" t="s">
        <v>102</v>
      </c>
      <c r="J752" s="550"/>
      <c r="K752" s="551"/>
      <c r="L752" s="186"/>
      <c r="M752" s="158"/>
      <c r="N752" s="175"/>
      <c r="O752" s="176" t="s">
        <v>103</v>
      </c>
      <c r="P752" s="176"/>
      <c r="Q752" s="176"/>
      <c r="R752" s="176">
        <v>0</v>
      </c>
      <c r="S752" s="156"/>
      <c r="T752" s="176" t="s">
        <v>103</v>
      </c>
      <c r="U752" s="182"/>
      <c r="V752" s="178"/>
      <c r="W752" s="182" t="str">
        <f t="shared" si="206"/>
        <v/>
      </c>
      <c r="X752" s="178"/>
      <c r="Y752" s="182" t="str">
        <f t="shared" si="207"/>
        <v/>
      </c>
      <c r="Z752" s="183"/>
      <c r="AA752" s="158"/>
      <c r="AB752" s="158"/>
      <c r="AC752" s="158"/>
    </row>
    <row r="753" spans="1:29" ht="18" customHeight="1" x14ac:dyDescent="0.2">
      <c r="A753" s="163"/>
      <c r="B753" s="149"/>
      <c r="C753" s="149"/>
      <c r="D753" s="149"/>
      <c r="E753" s="149"/>
      <c r="F753" s="149"/>
      <c r="G753" s="149"/>
      <c r="H753" s="187"/>
      <c r="I753" s="149"/>
      <c r="J753" s="149"/>
      <c r="K753" s="149"/>
      <c r="L753" s="188"/>
      <c r="M753" s="158"/>
      <c r="N753" s="175"/>
      <c r="O753" s="176" t="s">
        <v>104</v>
      </c>
      <c r="P753" s="176"/>
      <c r="Q753" s="176"/>
      <c r="R753" s="176">
        <v>0</v>
      </c>
      <c r="S753" s="156"/>
      <c r="T753" s="176" t="s">
        <v>104</v>
      </c>
      <c r="U753" s="182"/>
      <c r="V753" s="178"/>
      <c r="W753" s="182" t="str">
        <f t="shared" si="206"/>
        <v/>
      </c>
      <c r="X753" s="178"/>
      <c r="Y753" s="182" t="str">
        <f t="shared" si="207"/>
        <v/>
      </c>
      <c r="Z753" s="183"/>
      <c r="AA753" s="158"/>
      <c r="AB753" s="158"/>
      <c r="AC753" s="158"/>
    </row>
    <row r="754" spans="1:29" ht="18" customHeight="1" x14ac:dyDescent="0.2">
      <c r="A754" s="163"/>
      <c r="B754" s="547" t="s">
        <v>88</v>
      </c>
      <c r="C754" s="548"/>
      <c r="D754" s="149"/>
      <c r="E754" s="149"/>
      <c r="F754" s="189" t="s">
        <v>105</v>
      </c>
      <c r="G754" s="190" t="str">
        <f>IF($J$1="January",U750,IF($J$1="February",U751,IF($J$1="March",U752,IF($J$1="April",U753,IF($J$1="May",U754,IF($J$1="June",U755,IF($J$1="July",U756,IF($J$1="August",U757,IF($J$1="August",U757,IF($J$1="September",U758,IF($J$1="October",U759,IF($J$1="November",U760,IF($J$1="December",U761)))))))))))))</f>
        <v/>
      </c>
      <c r="H754" s="187"/>
      <c r="I754" s="191">
        <f>IF(C758&gt;0,$K$2,C756)</f>
        <v>30</v>
      </c>
      <c r="J754" s="192" t="s">
        <v>106</v>
      </c>
      <c r="K754" s="193">
        <f>K750/$K$2*I754</f>
        <v>37000</v>
      </c>
      <c r="L754" s="194"/>
      <c r="M754" s="158"/>
      <c r="N754" s="175"/>
      <c r="O754" s="176" t="s">
        <v>107</v>
      </c>
      <c r="P754" s="176"/>
      <c r="Q754" s="176"/>
      <c r="R754" s="176">
        <v>0</v>
      </c>
      <c r="S754" s="156"/>
      <c r="T754" s="176" t="s">
        <v>107</v>
      </c>
      <c r="U754" s="182"/>
      <c r="V754" s="178"/>
      <c r="W754" s="182" t="str">
        <f t="shared" si="206"/>
        <v/>
      </c>
      <c r="X754" s="178"/>
      <c r="Y754" s="182" t="str">
        <f t="shared" si="207"/>
        <v/>
      </c>
      <c r="Z754" s="183"/>
      <c r="AA754" s="158"/>
      <c r="AB754" s="158"/>
      <c r="AC754" s="158"/>
    </row>
    <row r="755" spans="1:29" ht="18" customHeight="1" x14ac:dyDescent="0.2">
      <c r="A755" s="163"/>
      <c r="B755" s="195"/>
      <c r="C755" s="195"/>
      <c r="D755" s="149"/>
      <c r="E755" s="149"/>
      <c r="F755" s="189" t="s">
        <v>9</v>
      </c>
      <c r="G755" s="190">
        <f>IF($J$1="January",V750,IF($J$1="February",V751,IF($J$1="March",V752,IF($J$1="April",V753,IF($J$1="May",V754,IF($J$1="June",V755,IF($J$1="July",V756,IF($J$1="August",V757,IF($J$1="August",V757,IF($J$1="September",V758,IF($J$1="October",V759,IF($J$1="November",V760,IF($J$1="December",V761)))))))))))))</f>
        <v>0</v>
      </c>
      <c r="H755" s="187"/>
      <c r="I755" s="191">
        <v>2</v>
      </c>
      <c r="J755" s="192" t="s">
        <v>108</v>
      </c>
      <c r="K755" s="190">
        <f>K750/$K$2/8*I755</f>
        <v>308.33333333333331</v>
      </c>
      <c r="L755" s="196"/>
      <c r="M755" s="158"/>
      <c r="N755" s="175"/>
      <c r="O755" s="176" t="s">
        <v>84</v>
      </c>
      <c r="P755" s="176"/>
      <c r="Q755" s="176"/>
      <c r="R755" s="176">
        <v>0</v>
      </c>
      <c r="S755" s="156"/>
      <c r="T755" s="176" t="s">
        <v>84</v>
      </c>
      <c r="U755" s="182"/>
      <c r="V755" s="178"/>
      <c r="W755" s="182" t="str">
        <f t="shared" si="206"/>
        <v/>
      </c>
      <c r="X755" s="178"/>
      <c r="Y755" s="182" t="str">
        <f t="shared" si="207"/>
        <v/>
      </c>
      <c r="Z755" s="183"/>
      <c r="AA755" s="158"/>
      <c r="AB755" s="158"/>
      <c r="AC755" s="158"/>
    </row>
    <row r="756" spans="1:29" ht="18" customHeight="1" x14ac:dyDescent="0.2">
      <c r="A756" s="163"/>
      <c r="B756" s="189" t="s">
        <v>92</v>
      </c>
      <c r="C756" s="195">
        <f>IF($J$1="January",P750,IF($J$1="February",P751,IF($J$1="March",P752,IF($J$1="April",P753,IF($J$1="May",P754,IF($J$1="June",P755,IF($J$1="July",P756,IF($J$1="August",P757,IF($J$1="August",P757,IF($J$1="September",P758,IF($J$1="October",P759,IF($J$1="November",P760,IF($J$1="December",P761)))))))))))))</f>
        <v>30</v>
      </c>
      <c r="D756" s="149"/>
      <c r="E756" s="149"/>
      <c r="F756" s="189" t="s">
        <v>109</v>
      </c>
      <c r="G756" s="190" t="str">
        <f>IF($J$1="January",W750,IF($J$1="February",W751,IF($J$1="March",W752,IF($J$1="April",W753,IF($J$1="May",W754,IF($J$1="June",W755,IF($J$1="July",W756,IF($J$1="August",W757,IF($J$1="August",W757,IF($J$1="September",W758,IF($J$1="October",W759,IF($J$1="November",W760,IF($J$1="December",W761)))))))))))))</f>
        <v/>
      </c>
      <c r="H756" s="187"/>
      <c r="I756" s="545" t="s">
        <v>110</v>
      </c>
      <c r="J756" s="546"/>
      <c r="K756" s="190">
        <f>K754+K755</f>
        <v>37308.333333333336</v>
      </c>
      <c r="L756" s="196"/>
      <c r="M756" s="158"/>
      <c r="N756" s="175"/>
      <c r="O756" s="176" t="s">
        <v>111</v>
      </c>
      <c r="P756" s="176">
        <v>23</v>
      </c>
      <c r="Q756" s="176">
        <v>8</v>
      </c>
      <c r="R756" s="176">
        <v>0</v>
      </c>
      <c r="S756" s="156"/>
      <c r="T756" s="176" t="s">
        <v>111</v>
      </c>
      <c r="U756" s="182"/>
      <c r="V756" s="178"/>
      <c r="W756" s="182" t="str">
        <f t="shared" si="206"/>
        <v/>
      </c>
      <c r="X756" s="178"/>
      <c r="Y756" s="182" t="str">
        <f t="shared" si="207"/>
        <v/>
      </c>
      <c r="Z756" s="183"/>
      <c r="AA756" s="158"/>
      <c r="AB756" s="158"/>
      <c r="AC756" s="158"/>
    </row>
    <row r="757" spans="1:29" ht="18" customHeight="1" x14ac:dyDescent="0.2">
      <c r="A757" s="163"/>
      <c r="B757" s="189" t="s">
        <v>93</v>
      </c>
      <c r="C757" s="195">
        <f>IF($J$1="January",Q750,IF($J$1="February",Q751,IF($J$1="March",Q752,IF($J$1="April",Q753,IF($J$1="May",Q754,IF($J$1="June",Q755,IF($J$1="July",Q756,IF($J$1="August",Q757,IF($J$1="August",Q757,IF($J$1="September",Q758,IF($J$1="October",Q759,IF($J$1="November",Q760,IF($J$1="December",Q761)))))))))))))</f>
        <v>0</v>
      </c>
      <c r="D757" s="149"/>
      <c r="E757" s="149"/>
      <c r="F757" s="189" t="s">
        <v>11</v>
      </c>
      <c r="G757" s="190">
        <f>IF($J$1="January",X750,IF($J$1="February",X751,IF($J$1="March",X752,IF($J$1="April",X753,IF($J$1="May",X754,IF($J$1="June",X755,IF($J$1="July",X756,IF($J$1="August",X757,IF($J$1="August",X757,IF($J$1="September",X758,IF($J$1="October",X759,IF($J$1="November",X760,IF($J$1="December",X761)))))))))))))</f>
        <v>0</v>
      </c>
      <c r="H757" s="187"/>
      <c r="I757" s="545" t="s">
        <v>112</v>
      </c>
      <c r="J757" s="546"/>
      <c r="K757" s="190">
        <f>G757</f>
        <v>0</v>
      </c>
      <c r="L757" s="196"/>
      <c r="M757" s="158"/>
      <c r="N757" s="175"/>
      <c r="O757" s="176" t="s">
        <v>113</v>
      </c>
      <c r="P757" s="176">
        <v>31</v>
      </c>
      <c r="Q757" s="176">
        <v>0</v>
      </c>
      <c r="R757" s="176">
        <f>IF(Q757="","",R756-Q757)</f>
        <v>0</v>
      </c>
      <c r="S757" s="156"/>
      <c r="T757" s="176" t="s">
        <v>113</v>
      </c>
      <c r="U757" s="182" t="str">
        <f>IF($J$1="August",Y756,"")</f>
        <v/>
      </c>
      <c r="V757" s="178"/>
      <c r="W757" s="182" t="str">
        <f t="shared" si="206"/>
        <v/>
      </c>
      <c r="X757" s="178"/>
      <c r="Y757" s="182" t="str">
        <f t="shared" si="207"/>
        <v/>
      </c>
      <c r="Z757" s="183"/>
      <c r="AA757" s="158"/>
      <c r="AB757" s="158"/>
      <c r="AC757" s="158"/>
    </row>
    <row r="758" spans="1:29" ht="18" customHeight="1" x14ac:dyDescent="0.2">
      <c r="A758" s="163"/>
      <c r="B758" s="204" t="s">
        <v>114</v>
      </c>
      <c r="C758" s="195">
        <f>IF($J$1="January",R750,IF($J$1="February",R751,IF($J$1="March",R752,IF($J$1="April",R753,IF($J$1="May",R754,IF($J$1="June",R755,IF($J$1="July",R756,IF($J$1="August",R757,IF($J$1="August",R757,IF($J$1="September",R758,IF($J$1="October",R759,IF($J$1="November",R760,IF($J$1="December",R761)))))))))))))</f>
        <v>0</v>
      </c>
      <c r="D758" s="149"/>
      <c r="E758" s="149"/>
      <c r="F758" s="204" t="s">
        <v>115</v>
      </c>
      <c r="G758" s="190" t="str">
        <f>IF($J$1="January",Y750,IF($J$1="February",Y751,IF($J$1="March",Y752,IF($J$1="April",Y753,IF($J$1="May",Y754,IF($J$1="June",Y755,IF($J$1="July",Y756,IF($J$1="August",Y757,IF($J$1="August",Y757,IF($J$1="September",Y758,IF($J$1="October",Y759,IF($J$1="November",Y760,IF($J$1="December",Y761)))))))))))))</f>
        <v/>
      </c>
      <c r="H758" s="149"/>
      <c r="I758" s="549" t="s">
        <v>13</v>
      </c>
      <c r="J758" s="551"/>
      <c r="K758" s="37">
        <f>K756-K757</f>
        <v>37308.333333333336</v>
      </c>
      <c r="L758" s="180"/>
      <c r="M758" s="158"/>
      <c r="N758" s="175"/>
      <c r="O758" s="176" t="s">
        <v>116</v>
      </c>
      <c r="P758" s="176">
        <v>30</v>
      </c>
      <c r="Q758" s="176">
        <v>0</v>
      </c>
      <c r="R758" s="176">
        <v>0</v>
      </c>
      <c r="S758" s="156"/>
      <c r="T758" s="176" t="s">
        <v>116</v>
      </c>
      <c r="U758" s="182" t="str">
        <f>IF($J$1="September",Y757,"")</f>
        <v/>
      </c>
      <c r="V758" s="178"/>
      <c r="W758" s="182" t="str">
        <f t="shared" si="206"/>
        <v/>
      </c>
      <c r="X758" s="178"/>
      <c r="Y758" s="182" t="str">
        <f t="shared" si="207"/>
        <v/>
      </c>
      <c r="Z758" s="183"/>
      <c r="AA758" s="158"/>
      <c r="AB758" s="158"/>
      <c r="AC758" s="158"/>
    </row>
    <row r="759" spans="1:29" ht="18" customHeight="1" x14ac:dyDescent="0.2">
      <c r="A759" s="163"/>
      <c r="B759" s="149"/>
      <c r="C759" s="149"/>
      <c r="D759" s="149"/>
      <c r="E759" s="149"/>
      <c r="F759" s="149"/>
      <c r="G759" s="149"/>
      <c r="H759" s="149"/>
      <c r="I759" s="554"/>
      <c r="J759" s="554"/>
      <c r="K759" s="151"/>
      <c r="L759" s="186"/>
      <c r="M759" s="158"/>
      <c r="N759" s="175"/>
      <c r="O759" s="176" t="s">
        <v>117</v>
      </c>
      <c r="P759" s="176"/>
      <c r="Q759" s="176"/>
      <c r="R759" s="176">
        <v>0</v>
      </c>
      <c r="S759" s="156"/>
      <c r="T759" s="176" t="s">
        <v>117</v>
      </c>
      <c r="U759" s="182" t="str">
        <f>IF($J$1="October",Y758,"")</f>
        <v/>
      </c>
      <c r="V759" s="178"/>
      <c r="W759" s="182" t="str">
        <f t="shared" si="206"/>
        <v/>
      </c>
      <c r="X759" s="178"/>
      <c r="Y759" s="182" t="str">
        <f t="shared" si="207"/>
        <v/>
      </c>
      <c r="Z759" s="183"/>
      <c r="AA759" s="158"/>
      <c r="AB759" s="158"/>
      <c r="AC759" s="158"/>
    </row>
    <row r="760" spans="1:29" ht="18" customHeight="1" x14ac:dyDescent="0.3">
      <c r="A760" s="163"/>
      <c r="B760" s="147"/>
      <c r="C760" s="147"/>
      <c r="D760" s="147"/>
      <c r="E760" s="147"/>
      <c r="F760" s="147"/>
      <c r="G760" s="147"/>
      <c r="H760" s="147"/>
      <c r="I760" s="530"/>
      <c r="J760" s="530"/>
      <c r="K760" s="151"/>
      <c r="L760" s="186"/>
      <c r="M760" s="158"/>
      <c r="N760" s="175"/>
      <c r="O760" s="176" t="s">
        <v>118</v>
      </c>
      <c r="P760" s="176"/>
      <c r="Q760" s="176"/>
      <c r="R760" s="176" t="str">
        <f>IF(Q760="","",R759-Q760)</f>
        <v/>
      </c>
      <c r="S760" s="156"/>
      <c r="T760" s="176" t="s">
        <v>118</v>
      </c>
      <c r="U760" s="182" t="str">
        <f>IF($J$1="November",Y759,"")</f>
        <v/>
      </c>
      <c r="V760" s="178"/>
      <c r="W760" s="182" t="str">
        <f t="shared" si="206"/>
        <v/>
      </c>
      <c r="X760" s="178"/>
      <c r="Y760" s="182" t="str">
        <f t="shared" si="207"/>
        <v/>
      </c>
      <c r="Z760" s="183"/>
      <c r="AA760" s="158"/>
      <c r="AB760" s="158"/>
      <c r="AC760" s="158"/>
    </row>
    <row r="761" spans="1:29" ht="18" customHeight="1" thickBot="1" x14ac:dyDescent="0.35">
      <c r="A761" s="197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9"/>
      <c r="M761" s="158"/>
      <c r="N761" s="175"/>
      <c r="O761" s="176" t="s">
        <v>119</v>
      </c>
      <c r="P761" s="176"/>
      <c r="Q761" s="176"/>
      <c r="R761" s="176">
        <v>0</v>
      </c>
      <c r="S761" s="156"/>
      <c r="T761" s="176" t="s">
        <v>119</v>
      </c>
      <c r="U761" s="182" t="str">
        <f>IF($J$1="Dec",Y760,"")</f>
        <v/>
      </c>
      <c r="V761" s="178"/>
      <c r="W761" s="182" t="str">
        <f t="shared" si="206"/>
        <v/>
      </c>
      <c r="X761" s="178"/>
      <c r="Y761" s="182" t="str">
        <f t="shared" si="207"/>
        <v/>
      </c>
      <c r="Z761" s="183"/>
      <c r="AA761" s="158"/>
      <c r="AB761" s="158"/>
      <c r="AC761" s="158"/>
    </row>
    <row r="762" spans="1:29" ht="18" customHeight="1" thickBot="1" x14ac:dyDescent="0.25">
      <c r="A762" s="197"/>
      <c r="B762" s="213"/>
      <c r="C762" s="213"/>
      <c r="D762" s="213"/>
      <c r="E762" s="213"/>
      <c r="F762" s="213"/>
      <c r="G762" s="213"/>
      <c r="H762" s="213"/>
      <c r="I762" s="213"/>
      <c r="J762" s="213"/>
      <c r="K762" s="213"/>
      <c r="L762" s="199"/>
      <c r="M762" s="158"/>
      <c r="N762" s="214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8"/>
      <c r="AA762" s="158"/>
      <c r="AB762" s="158"/>
      <c r="AC762" s="158"/>
    </row>
    <row r="763" spans="1:29" ht="18" customHeight="1" x14ac:dyDescent="0.2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58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8"/>
      <c r="AB763" s="158"/>
      <c r="AC763" s="158"/>
    </row>
    <row r="764" spans="1:29" ht="18" customHeight="1" thickBot="1" x14ac:dyDescent="0.25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58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8"/>
      <c r="AB764" s="158"/>
      <c r="AC764" s="158"/>
    </row>
    <row r="765" spans="1:29" ht="18" customHeight="1" x14ac:dyDescent="0.2">
      <c r="A765" s="569" t="s">
        <v>87</v>
      </c>
      <c r="B765" s="538"/>
      <c r="C765" s="538"/>
      <c r="D765" s="538"/>
      <c r="E765" s="538"/>
      <c r="F765" s="538"/>
      <c r="G765" s="538"/>
      <c r="H765" s="538"/>
      <c r="I765" s="538"/>
      <c r="J765" s="538"/>
      <c r="K765" s="538"/>
      <c r="L765" s="539"/>
      <c r="M765" s="159"/>
      <c r="N765" s="160"/>
      <c r="O765" s="524" t="s">
        <v>88</v>
      </c>
      <c r="P765" s="525"/>
      <c r="Q765" s="525"/>
      <c r="R765" s="526"/>
      <c r="S765" s="161"/>
      <c r="T765" s="524" t="s">
        <v>89</v>
      </c>
      <c r="U765" s="525"/>
      <c r="V765" s="525"/>
      <c r="W765" s="525"/>
      <c r="X765" s="525"/>
      <c r="Y765" s="526"/>
      <c r="Z765" s="162"/>
      <c r="AA765" s="159"/>
      <c r="AB765" s="158"/>
      <c r="AC765" s="158"/>
    </row>
    <row r="766" spans="1:29" ht="18" customHeight="1" x14ac:dyDescent="0.2">
      <c r="A766" s="163"/>
      <c r="B766" s="149"/>
      <c r="C766" s="535" t="s">
        <v>216</v>
      </c>
      <c r="D766" s="531"/>
      <c r="E766" s="531"/>
      <c r="F766" s="531"/>
      <c r="G766" s="164" t="str">
        <f>$J$1</f>
        <v>September</v>
      </c>
      <c r="H766" s="536">
        <f>$K$1</f>
        <v>2024</v>
      </c>
      <c r="I766" s="531"/>
      <c r="J766" s="149"/>
      <c r="K766" s="165"/>
      <c r="L766" s="166"/>
      <c r="M766" s="167"/>
      <c r="N766" s="168"/>
      <c r="O766" s="169" t="s">
        <v>91</v>
      </c>
      <c r="P766" s="169" t="s">
        <v>92</v>
      </c>
      <c r="Q766" s="169" t="s">
        <v>93</v>
      </c>
      <c r="R766" s="169" t="s">
        <v>94</v>
      </c>
      <c r="S766" s="170"/>
      <c r="T766" s="169" t="s">
        <v>91</v>
      </c>
      <c r="U766" s="169" t="s">
        <v>95</v>
      </c>
      <c r="V766" s="169" t="s">
        <v>9</v>
      </c>
      <c r="W766" s="169" t="s">
        <v>10</v>
      </c>
      <c r="X766" s="169" t="s">
        <v>11</v>
      </c>
      <c r="Y766" s="169" t="s">
        <v>96</v>
      </c>
      <c r="Z766" s="171"/>
      <c r="AA766" s="167"/>
      <c r="AB766" s="158"/>
      <c r="AC766" s="158"/>
    </row>
    <row r="767" spans="1:29" ht="18" customHeight="1" x14ac:dyDescent="0.2">
      <c r="A767" s="163"/>
      <c r="B767" s="149"/>
      <c r="C767" s="149"/>
      <c r="D767" s="172"/>
      <c r="E767" s="172"/>
      <c r="F767" s="172"/>
      <c r="G767" s="172"/>
      <c r="H767" s="172"/>
      <c r="I767" s="149"/>
      <c r="J767" s="173" t="s">
        <v>97</v>
      </c>
      <c r="K767" s="151">
        <f>60000+10000</f>
        <v>70000</v>
      </c>
      <c r="L767" s="174"/>
      <c r="M767" s="158"/>
      <c r="N767" s="175"/>
      <c r="O767" s="176" t="s">
        <v>98</v>
      </c>
      <c r="P767" s="176"/>
      <c r="Q767" s="176"/>
      <c r="R767" s="176">
        <v>0</v>
      </c>
      <c r="S767" s="177"/>
      <c r="T767" s="176" t="s">
        <v>98</v>
      </c>
      <c r="U767" s="178"/>
      <c r="V767" s="178"/>
      <c r="W767" s="178">
        <f>V767+U767</f>
        <v>0</v>
      </c>
      <c r="X767" s="178"/>
      <c r="Y767" s="178">
        <f>W767-X767</f>
        <v>0</v>
      </c>
      <c r="Z767" s="171"/>
      <c r="AA767" s="158"/>
      <c r="AB767" s="158"/>
      <c r="AC767" s="158"/>
    </row>
    <row r="768" spans="1:29" ht="18" customHeight="1" x14ac:dyDescent="0.2">
      <c r="A768" s="163"/>
      <c r="B768" s="149" t="s">
        <v>99</v>
      </c>
      <c r="C768" s="148" t="s">
        <v>217</v>
      </c>
      <c r="D768" s="149"/>
      <c r="E768" s="149"/>
      <c r="F768" s="149"/>
      <c r="G768" s="149"/>
      <c r="H768" s="179"/>
      <c r="I768" s="172"/>
      <c r="J768" s="149"/>
      <c r="K768" s="149"/>
      <c r="L768" s="180"/>
      <c r="M768" s="159"/>
      <c r="N768" s="181"/>
      <c r="O768" s="176" t="s">
        <v>100</v>
      </c>
      <c r="P768" s="176">
        <v>28</v>
      </c>
      <c r="Q768" s="176">
        <v>0</v>
      </c>
      <c r="R768" s="176">
        <f>IF(Q768="","",R767-Q768)</f>
        <v>0</v>
      </c>
      <c r="S768" s="156"/>
      <c r="T768" s="176" t="s">
        <v>100</v>
      </c>
      <c r="U768" s="182">
        <v>0</v>
      </c>
      <c r="V768" s="178"/>
      <c r="W768" s="182">
        <f t="shared" ref="W768:W778" si="208">IF(U768="","",U768+V768)</f>
        <v>0</v>
      </c>
      <c r="X768" s="178"/>
      <c r="Y768" s="182">
        <f t="shared" ref="Y768:Y778" si="209">IF(W768="","",W768-X768)</f>
        <v>0</v>
      </c>
      <c r="Z768" s="183"/>
      <c r="AA768" s="159"/>
      <c r="AB768" s="158"/>
      <c r="AC768" s="158"/>
    </row>
    <row r="769" spans="1:29" ht="18" customHeight="1" x14ac:dyDescent="0.2">
      <c r="A769" s="163"/>
      <c r="B769" s="184" t="s">
        <v>101</v>
      </c>
      <c r="C769" s="185"/>
      <c r="D769" s="149"/>
      <c r="E769" s="149"/>
      <c r="F769" s="529" t="s">
        <v>89</v>
      </c>
      <c r="G769" s="503"/>
      <c r="H769" s="149"/>
      <c r="I769" s="529" t="s">
        <v>102</v>
      </c>
      <c r="J769" s="502"/>
      <c r="K769" s="503"/>
      <c r="L769" s="186"/>
      <c r="M769" s="158"/>
      <c r="N769" s="175"/>
      <c r="O769" s="176" t="s">
        <v>103</v>
      </c>
      <c r="P769" s="176">
        <v>29</v>
      </c>
      <c r="Q769" s="176">
        <v>2</v>
      </c>
      <c r="R769" s="176">
        <v>0</v>
      </c>
      <c r="S769" s="156"/>
      <c r="T769" s="176" t="s">
        <v>103</v>
      </c>
      <c r="U769" s="182">
        <f t="shared" ref="U769:U770" si="210">IF($J$1="April",Y768,Y768)</f>
        <v>0</v>
      </c>
      <c r="V769" s="178"/>
      <c r="W769" s="182">
        <f t="shared" si="208"/>
        <v>0</v>
      </c>
      <c r="X769" s="178"/>
      <c r="Y769" s="182">
        <f t="shared" si="209"/>
        <v>0</v>
      </c>
      <c r="Z769" s="183"/>
      <c r="AA769" s="158"/>
      <c r="AB769" s="158"/>
      <c r="AC769" s="158"/>
    </row>
    <row r="770" spans="1:29" ht="18" customHeight="1" x14ac:dyDescent="0.2">
      <c r="A770" s="163"/>
      <c r="B770" s="149"/>
      <c r="C770" s="149"/>
      <c r="D770" s="149"/>
      <c r="E770" s="149"/>
      <c r="F770" s="149"/>
      <c r="G770" s="149"/>
      <c r="H770" s="187"/>
      <c r="I770" s="149"/>
      <c r="J770" s="149"/>
      <c r="K770" s="149"/>
      <c r="L770" s="188"/>
      <c r="M770" s="158"/>
      <c r="N770" s="175"/>
      <c r="O770" s="176" t="s">
        <v>104</v>
      </c>
      <c r="P770" s="176"/>
      <c r="Q770" s="176"/>
      <c r="R770" s="176" t="str">
        <f>IF(Q770="","",R769-Q770)</f>
        <v/>
      </c>
      <c r="S770" s="156"/>
      <c r="T770" s="176" t="s">
        <v>104</v>
      </c>
      <c r="U770" s="182">
        <f t="shared" si="210"/>
        <v>0</v>
      </c>
      <c r="V770" s="178"/>
      <c r="W770" s="182">
        <f t="shared" si="208"/>
        <v>0</v>
      </c>
      <c r="X770" s="178"/>
      <c r="Y770" s="182">
        <f t="shared" si="209"/>
        <v>0</v>
      </c>
      <c r="Z770" s="183"/>
      <c r="AA770" s="158"/>
      <c r="AB770" s="158"/>
      <c r="AC770" s="158"/>
    </row>
    <row r="771" spans="1:29" ht="18" customHeight="1" x14ac:dyDescent="0.2">
      <c r="A771" s="163"/>
      <c r="B771" s="527" t="s">
        <v>88</v>
      </c>
      <c r="C771" s="503"/>
      <c r="D771" s="149"/>
      <c r="E771" s="149"/>
      <c r="F771" s="189" t="s">
        <v>105</v>
      </c>
      <c r="G771" s="190">
        <f>IF($J$1="January",U767,IF($J$1="February",U768,IF($J$1="March",U769,IF($J$1="April",U770,IF($J$1="May",U771,IF($J$1="June",U772,IF($J$1="July",U773,IF($J$1="August",U774,IF($J$1="August",U774,IF($J$1="September",U775,IF($J$1="October",U776,IF($J$1="November",U777,IF($J$1="December",U778)))))))))))))</f>
        <v>40000</v>
      </c>
      <c r="H771" s="187"/>
      <c r="I771" s="191">
        <f>IF(C775&gt;0,$K$2,C773)</f>
        <v>29</v>
      </c>
      <c r="J771" s="192" t="s">
        <v>106</v>
      </c>
      <c r="K771" s="193">
        <f>K767/$K$2*I771</f>
        <v>67666.666666666672</v>
      </c>
      <c r="L771" s="194"/>
      <c r="M771" s="158"/>
      <c r="N771" s="175"/>
      <c r="O771" s="176" t="s">
        <v>107</v>
      </c>
      <c r="P771" s="176">
        <v>30</v>
      </c>
      <c r="Q771" s="176">
        <v>1</v>
      </c>
      <c r="R771" s="176">
        <v>0</v>
      </c>
      <c r="S771" s="156"/>
      <c r="T771" s="176" t="s">
        <v>107</v>
      </c>
      <c r="U771" s="182">
        <f t="shared" ref="U771:U778" si="211">IF($J$1="May",Y770,Y770)</f>
        <v>0</v>
      </c>
      <c r="V771" s="178"/>
      <c r="W771" s="182">
        <f t="shared" si="208"/>
        <v>0</v>
      </c>
      <c r="X771" s="178"/>
      <c r="Y771" s="182">
        <f t="shared" si="209"/>
        <v>0</v>
      </c>
      <c r="Z771" s="183"/>
      <c r="AA771" s="158"/>
      <c r="AB771" s="158"/>
      <c r="AC771" s="158"/>
    </row>
    <row r="772" spans="1:29" ht="18" customHeight="1" x14ac:dyDescent="0.2">
      <c r="A772" s="163"/>
      <c r="B772" s="195"/>
      <c r="C772" s="195"/>
      <c r="D772" s="149"/>
      <c r="E772" s="149"/>
      <c r="F772" s="189" t="s">
        <v>9</v>
      </c>
      <c r="G772" s="190">
        <f>IF($J$1="January",V767,IF($J$1="February",V768,IF($J$1="March",V769,IF($J$1="April",V770,IF($J$1="May",V771,IF($J$1="June",V772,IF($J$1="July",V773,IF($J$1="August",V774,IF($J$1="August",V774,IF($J$1="September",V775,IF($J$1="October",V776,IF($J$1="November",V777,IF($J$1="December",V778)))))))))))))</f>
        <v>0</v>
      </c>
      <c r="H772" s="187"/>
      <c r="I772" s="191">
        <v>79</v>
      </c>
      <c r="J772" s="192" t="s">
        <v>108</v>
      </c>
      <c r="K772" s="190">
        <f>K767/$K$2/8*I772</f>
        <v>23041.666666666668</v>
      </c>
      <c r="L772" s="196"/>
      <c r="M772" s="158"/>
      <c r="N772" s="175"/>
      <c r="O772" s="176" t="s">
        <v>84</v>
      </c>
      <c r="P772" s="176">
        <v>30</v>
      </c>
      <c r="Q772" s="176">
        <v>0</v>
      </c>
      <c r="R772" s="176">
        <f t="shared" ref="R772:R778" si="212">IF(Q772="","",R771-Q772)</f>
        <v>0</v>
      </c>
      <c r="S772" s="156"/>
      <c r="T772" s="176" t="s">
        <v>84</v>
      </c>
      <c r="U772" s="182">
        <f t="shared" si="211"/>
        <v>0</v>
      </c>
      <c r="V772" s="178"/>
      <c r="W772" s="182">
        <f t="shared" si="208"/>
        <v>0</v>
      </c>
      <c r="X772" s="178"/>
      <c r="Y772" s="182">
        <f t="shared" si="209"/>
        <v>0</v>
      </c>
      <c r="Z772" s="183"/>
      <c r="AA772" s="158"/>
      <c r="AB772" s="158"/>
      <c r="AC772" s="158"/>
    </row>
    <row r="773" spans="1:29" ht="18" customHeight="1" x14ac:dyDescent="0.2">
      <c r="A773" s="163"/>
      <c r="B773" s="189" t="s">
        <v>92</v>
      </c>
      <c r="C773" s="195">
        <f>IF($J$1="January",P767,IF($J$1="February",P768,IF($J$1="March",P769,IF($J$1="April",P770,IF($J$1="May",P771,IF($J$1="June",P772,IF($J$1="July",P773,IF($J$1="August",P774,IF($J$1="August",P774,IF($J$1="September",P775,IF($J$1="October",P776,IF($J$1="November",P777,IF($J$1="December",P778)))))))))))))</f>
        <v>29</v>
      </c>
      <c r="D773" s="149"/>
      <c r="E773" s="149"/>
      <c r="F773" s="189" t="s">
        <v>109</v>
      </c>
      <c r="G773" s="190">
        <f>IF($J$1="January",W767,IF($J$1="February",W768,IF($J$1="March",W769,IF($J$1="April",W770,IF($J$1="May",W771,IF($J$1="June",W772,IF($J$1="July",W773,IF($J$1="August",W774,IF($J$1="August",W774,IF($J$1="September",W775,IF($J$1="October",W776,IF($J$1="November",W777,IF($J$1="December",W778)))))))))))))</f>
        <v>40000</v>
      </c>
      <c r="H773" s="187"/>
      <c r="I773" s="528" t="s">
        <v>110</v>
      </c>
      <c r="J773" s="503"/>
      <c r="K773" s="190">
        <f>K771+K772</f>
        <v>90708.333333333343</v>
      </c>
      <c r="L773" s="196"/>
      <c r="M773" s="158"/>
      <c r="N773" s="175"/>
      <c r="O773" s="176" t="s">
        <v>111</v>
      </c>
      <c r="P773" s="176">
        <v>31</v>
      </c>
      <c r="Q773" s="176">
        <v>0</v>
      </c>
      <c r="R773" s="176">
        <f t="shared" si="212"/>
        <v>0</v>
      </c>
      <c r="S773" s="156"/>
      <c r="T773" s="176" t="s">
        <v>111</v>
      </c>
      <c r="U773" s="182">
        <f t="shared" si="211"/>
        <v>0</v>
      </c>
      <c r="V773" s="178">
        <v>50000</v>
      </c>
      <c r="W773" s="182">
        <f t="shared" si="208"/>
        <v>50000</v>
      </c>
      <c r="X773" s="257">
        <v>5000</v>
      </c>
      <c r="Y773" s="182">
        <f t="shared" si="209"/>
        <v>45000</v>
      </c>
      <c r="Z773" s="183"/>
      <c r="AA773" s="158"/>
      <c r="AB773" s="158"/>
      <c r="AC773" s="158"/>
    </row>
    <row r="774" spans="1:29" ht="18" customHeight="1" x14ac:dyDescent="0.2">
      <c r="A774" s="163"/>
      <c r="B774" s="189" t="s">
        <v>93</v>
      </c>
      <c r="C774" s="195">
        <f>IF($J$1="January",Q767,IF($J$1="February",Q768,IF($J$1="March",Q769,IF($J$1="April",Q770,IF($J$1="May",Q771,IF($J$1="June",Q772,IF($J$1="July",Q773,IF($J$1="August",Q774,IF($J$1="August",Q774,IF($J$1="September",Q775,IF($J$1="October",Q776,IF($J$1="November",Q777,IF($J$1="December",Q778)))))))))))))</f>
        <v>1</v>
      </c>
      <c r="D774" s="149"/>
      <c r="E774" s="149"/>
      <c r="F774" s="189" t="s">
        <v>11</v>
      </c>
      <c r="G774" s="190">
        <f>IF($J$1="January",X767,IF($J$1="February",X768,IF($J$1="March",X769,IF($J$1="April",X770,IF($J$1="May",X771,IF($J$1="June",X772,IF($J$1="July",X773,IF($J$1="August",X774,IF($J$1="August",X774,IF($J$1="September",X775,IF($J$1="October",X776,IF($J$1="November",X777,IF($J$1="December",X778)))))))))))))</f>
        <v>5000</v>
      </c>
      <c r="H774" s="187"/>
      <c r="I774" s="528" t="s">
        <v>112</v>
      </c>
      <c r="J774" s="503"/>
      <c r="K774" s="190">
        <f>G774</f>
        <v>5000</v>
      </c>
      <c r="L774" s="196"/>
      <c r="M774" s="158"/>
      <c r="N774" s="175"/>
      <c r="O774" s="176" t="s">
        <v>113</v>
      </c>
      <c r="P774" s="176">
        <v>31</v>
      </c>
      <c r="Q774" s="176">
        <v>0</v>
      </c>
      <c r="R774" s="176">
        <f t="shared" si="212"/>
        <v>0</v>
      </c>
      <c r="S774" s="156"/>
      <c r="T774" s="176" t="s">
        <v>113</v>
      </c>
      <c r="U774" s="182">
        <f>Y773</f>
        <v>45000</v>
      </c>
      <c r="V774" s="178"/>
      <c r="W774" s="182">
        <f t="shared" si="208"/>
        <v>45000</v>
      </c>
      <c r="X774" s="178">
        <v>5000</v>
      </c>
      <c r="Y774" s="182">
        <f t="shared" si="209"/>
        <v>40000</v>
      </c>
      <c r="Z774" s="183"/>
      <c r="AA774" s="158"/>
      <c r="AB774" s="158"/>
      <c r="AC774" s="158"/>
    </row>
    <row r="775" spans="1:29" ht="18" customHeight="1" x14ac:dyDescent="0.2">
      <c r="A775" s="163"/>
      <c r="B775" s="212" t="s">
        <v>114</v>
      </c>
      <c r="C775" s="195">
        <f>IF($J$1="January",R767,IF($J$1="February",R768,IF($J$1="March",R769,IF($J$1="April",R770,IF($J$1="May",R771,IF($J$1="June",R772,IF($J$1="July",R773,IF($J$1="August",R774,IF($J$1="August",R774,IF($J$1="September",R775,IF($J$1="October",R776,IF($J$1="November",R777,IF($J$1="December",R778)))))))))))))</f>
        <v>0</v>
      </c>
      <c r="D775" s="149"/>
      <c r="E775" s="149"/>
      <c r="F775" s="189" t="s">
        <v>167</v>
      </c>
      <c r="G775" s="190">
        <f>IF($J$1="January",Y767,IF($J$1="February",Y768,IF($J$1="March",Y769,IF($J$1="April",Y770,IF($J$1="May",Y771,IF($J$1="June",Y772,IF($J$1="July",Y773,IF($J$1="August",Y774,IF($J$1="August",Y774,IF($J$1="September",Y775,IF($J$1="October",Y776,IF($J$1="November",Y777,IF($J$1="December",Y778)))))))))))))</f>
        <v>35000</v>
      </c>
      <c r="H775" s="149"/>
      <c r="I775" s="529" t="s">
        <v>13</v>
      </c>
      <c r="J775" s="503"/>
      <c r="K775" s="37">
        <f>K773-K774</f>
        <v>85708.333333333343</v>
      </c>
      <c r="L775" s="180"/>
      <c r="M775" s="158"/>
      <c r="N775" s="175"/>
      <c r="O775" s="176" t="s">
        <v>116</v>
      </c>
      <c r="P775" s="176">
        <v>29</v>
      </c>
      <c r="Q775" s="176">
        <v>1</v>
      </c>
      <c r="R775" s="176">
        <v>0</v>
      </c>
      <c r="S775" s="156"/>
      <c r="T775" s="176" t="s">
        <v>116</v>
      </c>
      <c r="U775" s="182">
        <f>Y774</f>
        <v>40000</v>
      </c>
      <c r="V775" s="178"/>
      <c r="W775" s="182">
        <f t="shared" si="208"/>
        <v>40000</v>
      </c>
      <c r="X775" s="178">
        <v>5000</v>
      </c>
      <c r="Y775" s="182">
        <f t="shared" si="209"/>
        <v>35000</v>
      </c>
      <c r="Z775" s="183"/>
      <c r="AA775" s="158"/>
      <c r="AB775" s="158"/>
      <c r="AC775" s="158"/>
    </row>
    <row r="776" spans="1:29" ht="18" customHeight="1" x14ac:dyDescent="0.2">
      <c r="A776" s="163"/>
      <c r="B776" s="149"/>
      <c r="C776" s="149"/>
      <c r="D776" s="149"/>
      <c r="E776" s="149"/>
      <c r="F776" s="149"/>
      <c r="G776" s="149"/>
      <c r="H776" s="149"/>
      <c r="I776" s="530"/>
      <c r="J776" s="531"/>
      <c r="K776" s="151"/>
      <c r="L776" s="186"/>
      <c r="M776" s="158"/>
      <c r="N776" s="175"/>
      <c r="O776" s="176" t="s">
        <v>117</v>
      </c>
      <c r="P776" s="176"/>
      <c r="Q776" s="176"/>
      <c r="R776" s="176" t="str">
        <f t="shared" si="212"/>
        <v/>
      </c>
      <c r="S776" s="156"/>
      <c r="T776" s="176" t="s">
        <v>117</v>
      </c>
      <c r="U776" s="182"/>
      <c r="V776" s="178"/>
      <c r="W776" s="182" t="str">
        <f t="shared" si="208"/>
        <v/>
      </c>
      <c r="X776" s="178"/>
      <c r="Y776" s="182" t="str">
        <f t="shared" si="209"/>
        <v/>
      </c>
      <c r="Z776" s="183"/>
      <c r="AA776" s="158"/>
      <c r="AB776" s="158"/>
      <c r="AC776" s="158"/>
    </row>
    <row r="777" spans="1:29" ht="18" customHeight="1" x14ac:dyDescent="0.3">
      <c r="A777" s="163"/>
      <c r="B777" s="147"/>
      <c r="C777" s="147"/>
      <c r="D777" s="147"/>
      <c r="E777" s="147"/>
      <c r="F777" s="147"/>
      <c r="G777" s="147"/>
      <c r="H777" s="147"/>
      <c r="I777" s="530"/>
      <c r="J777" s="531"/>
      <c r="K777" s="151"/>
      <c r="L777" s="186"/>
      <c r="M777" s="158"/>
      <c r="N777" s="175"/>
      <c r="O777" s="176" t="s">
        <v>118</v>
      </c>
      <c r="P777" s="176"/>
      <c r="Q777" s="176"/>
      <c r="R777" s="176" t="str">
        <f t="shared" si="212"/>
        <v/>
      </c>
      <c r="S777" s="156"/>
      <c r="T777" s="176" t="s">
        <v>118</v>
      </c>
      <c r="U777" s="182" t="str">
        <f t="shared" si="211"/>
        <v/>
      </c>
      <c r="V777" s="178"/>
      <c r="W777" s="182" t="str">
        <f t="shared" si="208"/>
        <v/>
      </c>
      <c r="X777" s="178"/>
      <c r="Y777" s="182" t="str">
        <f t="shared" si="209"/>
        <v/>
      </c>
      <c r="Z777" s="183"/>
      <c r="AA777" s="158"/>
      <c r="AB777" s="158"/>
      <c r="AC777" s="158"/>
    </row>
    <row r="778" spans="1:29" ht="18" customHeight="1" x14ac:dyDescent="0.3">
      <c r="A778" s="163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86"/>
      <c r="M778" s="158"/>
      <c r="N778" s="175"/>
      <c r="O778" s="176" t="s">
        <v>119</v>
      </c>
      <c r="P778" s="176"/>
      <c r="Q778" s="176"/>
      <c r="R778" s="176" t="str">
        <f t="shared" si="212"/>
        <v/>
      </c>
      <c r="S778" s="156"/>
      <c r="T778" s="176" t="s">
        <v>119</v>
      </c>
      <c r="U778" s="182" t="str">
        <f t="shared" si="211"/>
        <v/>
      </c>
      <c r="V778" s="178"/>
      <c r="W778" s="182" t="str">
        <f t="shared" si="208"/>
        <v/>
      </c>
      <c r="X778" s="178"/>
      <c r="Y778" s="182" t="str">
        <f t="shared" si="209"/>
        <v/>
      </c>
      <c r="Z778" s="183"/>
      <c r="AA778" s="158"/>
      <c r="AB778" s="158"/>
      <c r="AC778" s="158"/>
    </row>
    <row r="779" spans="1:29" ht="18" customHeight="1" thickBot="1" x14ac:dyDescent="0.25">
      <c r="A779" s="197"/>
      <c r="B779" s="213"/>
      <c r="C779" s="213"/>
      <c r="D779" s="213"/>
      <c r="E779" s="213"/>
      <c r="F779" s="213"/>
      <c r="G779" s="213"/>
      <c r="H779" s="213"/>
      <c r="I779" s="213"/>
      <c r="J779" s="213"/>
      <c r="K779" s="213"/>
      <c r="L779" s="199"/>
      <c r="M779" s="158"/>
      <c r="N779" s="214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8"/>
      <c r="AA779" s="158"/>
      <c r="AB779" s="158"/>
      <c r="AC779" s="158"/>
    </row>
    <row r="780" spans="1:29" ht="18" customHeight="1" thickBot="1" x14ac:dyDescent="0.25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58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8"/>
      <c r="AB780" s="158"/>
      <c r="AC780" s="158"/>
    </row>
    <row r="781" spans="1:29" ht="18" customHeight="1" x14ac:dyDescent="0.2">
      <c r="A781" s="564" t="s">
        <v>87</v>
      </c>
      <c r="B781" s="538"/>
      <c r="C781" s="538"/>
      <c r="D781" s="538"/>
      <c r="E781" s="538"/>
      <c r="F781" s="538"/>
      <c r="G781" s="538"/>
      <c r="H781" s="538"/>
      <c r="I781" s="538"/>
      <c r="J781" s="538"/>
      <c r="K781" s="538"/>
      <c r="L781" s="539"/>
      <c r="M781" s="159"/>
      <c r="N781" s="160"/>
      <c r="O781" s="524" t="s">
        <v>88</v>
      </c>
      <c r="P781" s="525"/>
      <c r="Q781" s="525"/>
      <c r="R781" s="526"/>
      <c r="S781" s="161"/>
      <c r="T781" s="524" t="s">
        <v>89</v>
      </c>
      <c r="U781" s="525"/>
      <c r="V781" s="525"/>
      <c r="W781" s="525"/>
      <c r="X781" s="525"/>
      <c r="Y781" s="526"/>
      <c r="Z781" s="162"/>
      <c r="AA781" s="159"/>
      <c r="AB781" s="158"/>
      <c r="AC781" s="158"/>
    </row>
    <row r="782" spans="1:29" ht="18" customHeight="1" x14ac:dyDescent="0.2">
      <c r="A782" s="163"/>
      <c r="B782" s="149"/>
      <c r="C782" s="535" t="s">
        <v>218</v>
      </c>
      <c r="D782" s="531"/>
      <c r="E782" s="531"/>
      <c r="F782" s="531"/>
      <c r="G782" s="164" t="str">
        <f>$J$1</f>
        <v>September</v>
      </c>
      <c r="H782" s="536">
        <f>$K$1</f>
        <v>2024</v>
      </c>
      <c r="I782" s="531"/>
      <c r="J782" s="149"/>
      <c r="K782" s="165"/>
      <c r="L782" s="166"/>
      <c r="M782" s="167"/>
      <c r="N782" s="168"/>
      <c r="O782" s="169" t="s">
        <v>91</v>
      </c>
      <c r="P782" s="169" t="s">
        <v>92</v>
      </c>
      <c r="Q782" s="169" t="s">
        <v>93</v>
      </c>
      <c r="R782" s="169" t="s">
        <v>94</v>
      </c>
      <c r="S782" s="170"/>
      <c r="T782" s="169" t="s">
        <v>91</v>
      </c>
      <c r="U782" s="169" t="s">
        <v>95</v>
      </c>
      <c r="V782" s="169" t="s">
        <v>9</v>
      </c>
      <c r="W782" s="169" t="s">
        <v>10</v>
      </c>
      <c r="X782" s="169" t="s">
        <v>11</v>
      </c>
      <c r="Y782" s="169" t="s">
        <v>96</v>
      </c>
      <c r="Z782" s="171"/>
      <c r="AA782" s="167"/>
      <c r="AB782" s="158"/>
      <c r="AC782" s="158"/>
    </row>
    <row r="783" spans="1:29" ht="18" customHeight="1" x14ac:dyDescent="0.2">
      <c r="A783" s="163"/>
      <c r="B783" s="149"/>
      <c r="C783" s="149"/>
      <c r="D783" s="172"/>
      <c r="E783" s="172"/>
      <c r="F783" s="172"/>
      <c r="G783" s="172"/>
      <c r="H783" s="172"/>
      <c r="I783" s="149"/>
      <c r="J783" s="173" t="s">
        <v>97</v>
      </c>
      <c r="K783" s="151">
        <v>35000</v>
      </c>
      <c r="L783" s="174"/>
      <c r="M783" s="158"/>
      <c r="N783" s="175"/>
      <c r="O783" s="176" t="s">
        <v>98</v>
      </c>
      <c r="P783" s="176"/>
      <c r="Q783" s="176"/>
      <c r="R783" s="176">
        <v>0</v>
      </c>
      <c r="S783" s="177"/>
      <c r="T783" s="176" t="s">
        <v>98</v>
      </c>
      <c r="U783" s="178"/>
      <c r="V783" s="178"/>
      <c r="W783" s="178">
        <f>V783+U783</f>
        <v>0</v>
      </c>
      <c r="X783" s="178"/>
      <c r="Y783" s="178">
        <f>W783-X783</f>
        <v>0</v>
      </c>
      <c r="Z783" s="171"/>
      <c r="AA783" s="158"/>
      <c r="AB783" s="158"/>
      <c r="AC783" s="158"/>
    </row>
    <row r="784" spans="1:29" ht="18" customHeight="1" x14ac:dyDescent="0.2">
      <c r="A784" s="163"/>
      <c r="B784" s="149" t="s">
        <v>99</v>
      </c>
      <c r="C784" s="148" t="s">
        <v>219</v>
      </c>
      <c r="D784" s="149"/>
      <c r="E784" s="149"/>
      <c r="F784" s="149"/>
      <c r="G784" s="149"/>
      <c r="H784" s="179"/>
      <c r="I784" s="172"/>
      <c r="J784" s="149"/>
      <c r="K784" s="149"/>
      <c r="L784" s="180"/>
      <c r="M784" s="159"/>
      <c r="N784" s="181"/>
      <c r="O784" s="176" t="s">
        <v>100</v>
      </c>
      <c r="P784" s="176"/>
      <c r="Q784" s="176"/>
      <c r="R784" s="176">
        <v>0</v>
      </c>
      <c r="S784" s="156"/>
      <c r="T784" s="176" t="s">
        <v>100</v>
      </c>
      <c r="U784" s="182">
        <f>IF($J$1="January","",Y783)</f>
        <v>0</v>
      </c>
      <c r="V784" s="178"/>
      <c r="W784" s="182">
        <f t="shared" ref="W784:W794" si="213">IF(U784="","",U784+V784)</f>
        <v>0</v>
      </c>
      <c r="X784" s="178"/>
      <c r="Y784" s="182">
        <f t="shared" ref="Y784:Y794" si="214">IF(W784="","",W784-X784)</f>
        <v>0</v>
      </c>
      <c r="Z784" s="183"/>
      <c r="AA784" s="159"/>
      <c r="AB784" s="158"/>
      <c r="AC784" s="158"/>
    </row>
    <row r="785" spans="1:29" ht="18" customHeight="1" x14ac:dyDescent="0.2">
      <c r="A785" s="163"/>
      <c r="B785" s="184" t="s">
        <v>101</v>
      </c>
      <c r="C785" s="210">
        <v>45363</v>
      </c>
      <c r="D785" s="149"/>
      <c r="E785" s="149"/>
      <c r="F785" s="529" t="s">
        <v>89</v>
      </c>
      <c r="G785" s="503"/>
      <c r="H785" s="149"/>
      <c r="I785" s="529" t="s">
        <v>102</v>
      </c>
      <c r="J785" s="502"/>
      <c r="K785" s="503"/>
      <c r="L785" s="186"/>
      <c r="M785" s="158"/>
      <c r="N785" s="175"/>
      <c r="O785" s="176" t="s">
        <v>103</v>
      </c>
      <c r="P785" s="176">
        <f>31-Q785</f>
        <v>20</v>
      </c>
      <c r="Q785" s="176">
        <v>11</v>
      </c>
      <c r="R785" s="176">
        <v>0</v>
      </c>
      <c r="S785" s="156"/>
      <c r="T785" s="176" t="s">
        <v>103</v>
      </c>
      <c r="U785" s="182">
        <f>IF($J$1="February","",Y784)</f>
        <v>0</v>
      </c>
      <c r="V785" s="178"/>
      <c r="W785" s="182">
        <f t="shared" si="213"/>
        <v>0</v>
      </c>
      <c r="X785" s="178"/>
      <c r="Y785" s="182">
        <f t="shared" si="214"/>
        <v>0</v>
      </c>
      <c r="Z785" s="183"/>
      <c r="AA785" s="158"/>
      <c r="AB785" s="158"/>
      <c r="AC785" s="158"/>
    </row>
    <row r="786" spans="1:29" ht="18" customHeight="1" x14ac:dyDescent="0.2">
      <c r="A786" s="163"/>
      <c r="B786" s="149"/>
      <c r="C786" s="149"/>
      <c r="D786" s="149"/>
      <c r="E786" s="149"/>
      <c r="F786" s="149"/>
      <c r="G786" s="149"/>
      <c r="H786" s="187"/>
      <c r="I786" s="149"/>
      <c r="J786" s="149"/>
      <c r="K786" s="149"/>
      <c r="L786" s="188"/>
      <c r="M786" s="158"/>
      <c r="N786" s="175"/>
      <c r="O786" s="176" t="s">
        <v>104</v>
      </c>
      <c r="P786" s="176">
        <v>28</v>
      </c>
      <c r="Q786" s="176">
        <v>2</v>
      </c>
      <c r="R786" s="176">
        <v>0</v>
      </c>
      <c r="S786" s="156"/>
      <c r="T786" s="176" t="s">
        <v>104</v>
      </c>
      <c r="U786" s="182">
        <f>IF($J$1="March","",Y785)</f>
        <v>0</v>
      </c>
      <c r="V786" s="178"/>
      <c r="W786" s="182">
        <f t="shared" si="213"/>
        <v>0</v>
      </c>
      <c r="X786" s="178"/>
      <c r="Y786" s="182">
        <f t="shared" si="214"/>
        <v>0</v>
      </c>
      <c r="Z786" s="183"/>
      <c r="AA786" s="158"/>
      <c r="AB786" s="158"/>
      <c r="AC786" s="158"/>
    </row>
    <row r="787" spans="1:29" ht="18" customHeight="1" x14ac:dyDescent="0.2">
      <c r="A787" s="163"/>
      <c r="B787" s="527" t="s">
        <v>88</v>
      </c>
      <c r="C787" s="503"/>
      <c r="D787" s="149"/>
      <c r="E787" s="149"/>
      <c r="F787" s="189" t="s">
        <v>105</v>
      </c>
      <c r="G787" s="190">
        <f>IF($J$1="January",U783,IF($J$1="February",U784,IF($J$1="March",U785,IF($J$1="April",U786,IF($J$1="May",U787,IF($J$1="June",U788,IF($J$1="July",U789,IF($J$1="August",U790,IF($J$1="August",U790,IF($J$1="September",U791,IF($J$1="October",U792,IF($J$1="November",U793,IF($J$1="December",U794)))))))))))))</f>
        <v>0</v>
      </c>
      <c r="H787" s="187"/>
      <c r="I787" s="191">
        <f>IF(C791&gt;0,$K$2,C789)</f>
        <v>29</v>
      </c>
      <c r="J787" s="192" t="s">
        <v>106</v>
      </c>
      <c r="K787" s="193">
        <f>K783/$K$2*I787</f>
        <v>33833.333333333336</v>
      </c>
      <c r="L787" s="194"/>
      <c r="M787" s="158"/>
      <c r="N787" s="175"/>
      <c r="O787" s="176" t="s">
        <v>107</v>
      </c>
      <c r="P787" s="176">
        <v>29</v>
      </c>
      <c r="Q787" s="176">
        <v>2</v>
      </c>
      <c r="R787" s="176">
        <v>0</v>
      </c>
      <c r="S787" s="156"/>
      <c r="T787" s="176" t="s">
        <v>107</v>
      </c>
      <c r="U787" s="182">
        <f>IF($J$1="April","",Y786)</f>
        <v>0</v>
      </c>
      <c r="V787" s="178"/>
      <c r="W787" s="182">
        <f t="shared" si="213"/>
        <v>0</v>
      </c>
      <c r="X787" s="178"/>
      <c r="Y787" s="182">
        <f t="shared" si="214"/>
        <v>0</v>
      </c>
      <c r="Z787" s="183"/>
      <c r="AA787" s="158"/>
      <c r="AB787" s="158"/>
      <c r="AC787" s="158"/>
    </row>
    <row r="788" spans="1:29" ht="18" customHeight="1" x14ac:dyDescent="0.2">
      <c r="A788" s="163"/>
      <c r="B788" s="195"/>
      <c r="C788" s="195"/>
      <c r="D788" s="149"/>
      <c r="E788" s="149"/>
      <c r="F788" s="189" t="s">
        <v>9</v>
      </c>
      <c r="G788" s="190">
        <f>IF($J$1="January",V783,IF($J$1="February",V784,IF($J$1="March",V785,IF($J$1="April",V786,IF($J$1="May",V787,IF($J$1="June",V788,IF($J$1="July",V789,IF($J$1="August",V790,IF($J$1="August",V790,IF($J$1="September",V791,IF($J$1="October",V792,IF($J$1="November",V793,IF($J$1="December",V794)))))))))))))</f>
        <v>0</v>
      </c>
      <c r="H788" s="187"/>
      <c r="I788" s="211">
        <v>30</v>
      </c>
      <c r="J788" s="192" t="s">
        <v>108</v>
      </c>
      <c r="K788" s="190">
        <f>K783/$K$2/8*I788</f>
        <v>4375</v>
      </c>
      <c r="L788" s="196"/>
      <c r="M788" s="158"/>
      <c r="N788" s="175"/>
      <c r="O788" s="176" t="s">
        <v>84</v>
      </c>
      <c r="P788" s="176">
        <v>28</v>
      </c>
      <c r="Q788" s="176">
        <v>2</v>
      </c>
      <c r="R788" s="176">
        <v>0</v>
      </c>
      <c r="S788" s="156"/>
      <c r="T788" s="176" t="s">
        <v>84</v>
      </c>
      <c r="U788" s="182">
        <f>IF($J$1="May","",Y787)</f>
        <v>0</v>
      </c>
      <c r="V788" s="178"/>
      <c r="W788" s="182">
        <f t="shared" si="213"/>
        <v>0</v>
      </c>
      <c r="X788" s="178"/>
      <c r="Y788" s="182">
        <f t="shared" si="214"/>
        <v>0</v>
      </c>
      <c r="Z788" s="183"/>
      <c r="AA788" s="158"/>
      <c r="AB788" s="158"/>
      <c r="AC788" s="158"/>
    </row>
    <row r="789" spans="1:29" ht="18" customHeight="1" x14ac:dyDescent="0.2">
      <c r="A789" s="163"/>
      <c r="B789" s="189" t="s">
        <v>92</v>
      </c>
      <c r="C789" s="195">
        <f>IF($J$1="January",P783,IF($J$1="February",P784,IF($J$1="March",P785,IF($J$1="April",P786,IF($J$1="May",P787,IF($J$1="June",P788,IF($J$1="July",P789,IF($J$1="August",P790,IF($J$1="August",P790,IF($J$1="September",P791,IF($J$1="October",P792,IF($J$1="November",P793,IF($J$1="December",P794)))))))))))))</f>
        <v>29</v>
      </c>
      <c r="D789" s="149"/>
      <c r="E789" s="149"/>
      <c r="F789" s="189" t="s">
        <v>109</v>
      </c>
      <c r="G789" s="190">
        <f>IF($J$1="January",W783,IF($J$1="February",W784,IF($J$1="March",W785,IF($J$1="April",W786,IF($J$1="May",W787,IF($J$1="June",W788,IF($J$1="July",W789,IF($J$1="August",W790,IF($J$1="August",W790,IF($J$1="September",W791,IF($J$1="October",W792,IF($J$1="November",W793,IF($J$1="December",W794)))))))))))))</f>
        <v>0</v>
      </c>
      <c r="H789" s="187"/>
      <c r="I789" s="528" t="s">
        <v>110</v>
      </c>
      <c r="J789" s="503"/>
      <c r="K789" s="190">
        <f>K787+K788</f>
        <v>38208.333333333336</v>
      </c>
      <c r="L789" s="196"/>
      <c r="M789" s="158"/>
      <c r="N789" s="175"/>
      <c r="O789" s="176" t="s">
        <v>111</v>
      </c>
      <c r="P789" s="176">
        <v>26</v>
      </c>
      <c r="Q789" s="176">
        <v>5</v>
      </c>
      <c r="R789" s="176">
        <v>0</v>
      </c>
      <c r="S789" s="156"/>
      <c r="T789" s="176" t="s">
        <v>111</v>
      </c>
      <c r="U789" s="182">
        <f>IF($J$1="June","",Y788)</f>
        <v>0</v>
      </c>
      <c r="V789" s="178"/>
      <c r="W789" s="182">
        <f t="shared" si="213"/>
        <v>0</v>
      </c>
      <c r="X789" s="178"/>
      <c r="Y789" s="182">
        <f t="shared" si="214"/>
        <v>0</v>
      </c>
      <c r="Z789" s="183"/>
      <c r="AA789" s="158"/>
      <c r="AB789" s="158"/>
      <c r="AC789" s="158"/>
    </row>
    <row r="790" spans="1:29" ht="18" customHeight="1" x14ac:dyDescent="0.2">
      <c r="A790" s="163"/>
      <c r="B790" s="189" t="s">
        <v>93</v>
      </c>
      <c r="C790" s="195">
        <f>IF($J$1="January",Q783,IF($J$1="February",Q784,IF($J$1="March",Q785,IF($J$1="April",Q786,IF($J$1="May",Q787,IF($J$1="June",Q788,IF($J$1="July",Q789,IF($J$1="August",Q790,IF($J$1="August",Q790,IF($J$1="September",Q791,IF($J$1="October",Q792,IF($J$1="November",Q793,IF($J$1="December",Q794)))))))))))))</f>
        <v>1</v>
      </c>
      <c r="D790" s="149"/>
      <c r="E790" s="149"/>
      <c r="F790" s="189" t="s">
        <v>11</v>
      </c>
      <c r="G790" s="190">
        <f>IF($J$1="January",X783,IF($J$1="February",X784,IF($J$1="March",X785,IF($J$1="April",X786,IF($J$1="May",X787,IF($J$1="June",X788,IF($J$1="July",X789,IF($J$1="August",X790,IF($J$1="August",X790,IF($J$1="September",X791,IF($J$1="October",X792,IF($J$1="November",X793,IF($J$1="December",X794)))))))))))))</f>
        <v>0</v>
      </c>
      <c r="H790" s="187"/>
      <c r="I790" s="528" t="s">
        <v>112</v>
      </c>
      <c r="J790" s="503"/>
      <c r="K790" s="190">
        <f>G790</f>
        <v>0</v>
      </c>
      <c r="L790" s="196"/>
      <c r="M790" s="158"/>
      <c r="N790" s="175"/>
      <c r="O790" s="176" t="s">
        <v>113</v>
      </c>
      <c r="P790" s="176">
        <v>29</v>
      </c>
      <c r="Q790" s="176">
        <v>2</v>
      </c>
      <c r="R790" s="176">
        <v>0</v>
      </c>
      <c r="S790" s="156"/>
      <c r="T790" s="176" t="s">
        <v>113</v>
      </c>
      <c r="U790" s="182">
        <f>IF($J$1="July","",Y789)</f>
        <v>0</v>
      </c>
      <c r="V790" s="178"/>
      <c r="W790" s="182">
        <f t="shared" si="213"/>
        <v>0</v>
      </c>
      <c r="X790" s="178"/>
      <c r="Y790" s="182">
        <f t="shared" si="214"/>
        <v>0</v>
      </c>
      <c r="Z790" s="183"/>
      <c r="AA790" s="158"/>
      <c r="AB790" s="158"/>
      <c r="AC790" s="158"/>
    </row>
    <row r="791" spans="1:29" ht="18" customHeight="1" x14ac:dyDescent="0.2">
      <c r="A791" s="163"/>
      <c r="B791" s="212" t="s">
        <v>114</v>
      </c>
      <c r="C791" s="195">
        <f>IF($J$1="January",R783,IF($J$1="February",R784,IF($J$1="March",R785,IF($J$1="April",R786,IF($J$1="May",R787,IF($J$1="June",R788,IF($J$1="July",R789,IF($J$1="August",R790,IF($J$1="August",R790,IF($J$1="September",R791,IF($J$1="October",R792,IF($J$1="November",R793,IF($J$1="December",R794)))))))))))))</f>
        <v>0</v>
      </c>
      <c r="D791" s="149"/>
      <c r="E791" s="149"/>
      <c r="F791" s="189" t="s">
        <v>167</v>
      </c>
      <c r="G791" s="190">
        <f>IF($J$1="January",Y783,IF($J$1="February",Y784,IF($J$1="March",Y785,IF($J$1="April",Y786,IF($J$1="May",Y787,IF($J$1="June",Y788,IF($J$1="July",Y789,IF($J$1="August",Y790,IF($J$1="August",Y790,IF($J$1="September",Y791,IF($J$1="October",Y792,IF($J$1="November",Y793,IF($J$1="December",Y794)))))))))))))</f>
        <v>0</v>
      </c>
      <c r="H791" s="149"/>
      <c r="I791" s="529" t="s">
        <v>13</v>
      </c>
      <c r="J791" s="503"/>
      <c r="K791" s="37">
        <f>K789-K790</f>
        <v>38208.333333333336</v>
      </c>
      <c r="L791" s="180"/>
      <c r="M791" s="158"/>
      <c r="N791" s="175"/>
      <c r="O791" s="176" t="s">
        <v>116</v>
      </c>
      <c r="P791" s="176">
        <v>29</v>
      </c>
      <c r="Q791" s="176">
        <v>1</v>
      </c>
      <c r="R791" s="176">
        <v>0</v>
      </c>
      <c r="S791" s="156"/>
      <c r="T791" s="176" t="s">
        <v>116</v>
      </c>
      <c r="U791" s="182">
        <f>IF($J$1="August","",Y790)</f>
        <v>0</v>
      </c>
      <c r="V791" s="178"/>
      <c r="W791" s="182">
        <f t="shared" si="213"/>
        <v>0</v>
      </c>
      <c r="X791" s="178"/>
      <c r="Y791" s="182">
        <f t="shared" si="214"/>
        <v>0</v>
      </c>
      <c r="Z791" s="183"/>
      <c r="AA791" s="158"/>
      <c r="AB791" s="158"/>
      <c r="AC791" s="158"/>
    </row>
    <row r="792" spans="1:29" ht="18" customHeight="1" x14ac:dyDescent="0.2">
      <c r="A792" s="163"/>
      <c r="B792" s="149"/>
      <c r="C792" s="149"/>
      <c r="D792" s="149"/>
      <c r="E792" s="149"/>
      <c r="F792" s="149"/>
      <c r="G792" s="149"/>
      <c r="H792" s="149"/>
      <c r="I792" s="530"/>
      <c r="J792" s="531"/>
      <c r="K792" s="151"/>
      <c r="L792" s="186"/>
      <c r="M792" s="158"/>
      <c r="N792" s="175"/>
      <c r="O792" s="176" t="s">
        <v>117</v>
      </c>
      <c r="P792" s="176"/>
      <c r="Q792" s="176"/>
      <c r="R792" s="176">
        <v>0</v>
      </c>
      <c r="S792" s="156"/>
      <c r="T792" s="176" t="s">
        <v>117</v>
      </c>
      <c r="U792" s="182" t="str">
        <f>IF($J$1="September","",Y791)</f>
        <v/>
      </c>
      <c r="V792" s="178"/>
      <c r="W792" s="182" t="str">
        <f t="shared" si="213"/>
        <v/>
      </c>
      <c r="X792" s="178"/>
      <c r="Y792" s="182" t="str">
        <f t="shared" si="214"/>
        <v/>
      </c>
      <c r="Z792" s="183"/>
      <c r="AA792" s="158"/>
      <c r="AB792" s="158"/>
      <c r="AC792" s="158"/>
    </row>
    <row r="793" spans="1:29" ht="18" customHeight="1" x14ac:dyDescent="0.3">
      <c r="A793" s="163"/>
      <c r="B793" s="147"/>
      <c r="C793" s="147"/>
      <c r="D793" s="147"/>
      <c r="E793" s="147"/>
      <c r="F793" s="147"/>
      <c r="G793" s="147"/>
      <c r="H793" s="147"/>
      <c r="I793" s="530"/>
      <c r="J793" s="531"/>
      <c r="K793" s="151"/>
      <c r="L793" s="186"/>
      <c r="M793" s="158"/>
      <c r="N793" s="175"/>
      <c r="O793" s="176" t="s">
        <v>118</v>
      </c>
      <c r="P793" s="176"/>
      <c r="Q793" s="176"/>
      <c r="R793" s="176">
        <v>0</v>
      </c>
      <c r="S793" s="156"/>
      <c r="T793" s="176" t="s">
        <v>118</v>
      </c>
      <c r="U793" s="182" t="str">
        <f>IF($J$1="October","",Y792)</f>
        <v/>
      </c>
      <c r="V793" s="178"/>
      <c r="W793" s="182" t="str">
        <f t="shared" si="213"/>
        <v/>
      </c>
      <c r="X793" s="178"/>
      <c r="Y793" s="182" t="str">
        <f t="shared" si="214"/>
        <v/>
      </c>
      <c r="Z793" s="183"/>
      <c r="AA793" s="158"/>
      <c r="AB793" s="158"/>
      <c r="AC793" s="158"/>
    </row>
    <row r="794" spans="1:29" ht="18" customHeight="1" x14ac:dyDescent="0.3">
      <c r="A794" s="163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86"/>
      <c r="M794" s="158"/>
      <c r="N794" s="175"/>
      <c r="O794" s="176" t="s">
        <v>119</v>
      </c>
      <c r="P794" s="176"/>
      <c r="Q794" s="176"/>
      <c r="R794" s="176">
        <v>0</v>
      </c>
      <c r="S794" s="156"/>
      <c r="T794" s="176" t="s">
        <v>119</v>
      </c>
      <c r="U794" s="182" t="str">
        <f>IF($J$1="November","",Y793)</f>
        <v/>
      </c>
      <c r="V794" s="178"/>
      <c r="W794" s="182" t="str">
        <f t="shared" si="213"/>
        <v/>
      </c>
      <c r="X794" s="178"/>
      <c r="Y794" s="182" t="str">
        <f t="shared" si="214"/>
        <v/>
      </c>
      <c r="Z794" s="183"/>
      <c r="AA794" s="158"/>
      <c r="AB794" s="158"/>
      <c r="AC794" s="158"/>
    </row>
    <row r="795" spans="1:29" ht="18" customHeight="1" thickBot="1" x14ac:dyDescent="0.25">
      <c r="A795" s="197"/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199"/>
      <c r="M795" s="158"/>
      <c r="N795" s="214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8"/>
      <c r="AA795" s="158"/>
      <c r="AB795" s="158"/>
      <c r="AC795" s="158"/>
    </row>
    <row r="796" spans="1:29" ht="18" customHeight="1" thickBot="1" x14ac:dyDescent="0.25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58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8"/>
      <c r="AB796" s="158"/>
      <c r="AC796" s="158"/>
    </row>
    <row r="797" spans="1:29" ht="18" customHeight="1" x14ac:dyDescent="0.2">
      <c r="A797" s="540" t="s">
        <v>87</v>
      </c>
      <c r="B797" s="538"/>
      <c r="C797" s="538"/>
      <c r="D797" s="538"/>
      <c r="E797" s="538"/>
      <c r="F797" s="538"/>
      <c r="G797" s="538"/>
      <c r="H797" s="538"/>
      <c r="I797" s="538"/>
      <c r="J797" s="538"/>
      <c r="K797" s="538"/>
      <c r="L797" s="539"/>
      <c r="M797" s="159"/>
      <c r="N797" s="160"/>
      <c r="O797" s="524" t="s">
        <v>88</v>
      </c>
      <c r="P797" s="525"/>
      <c r="Q797" s="525"/>
      <c r="R797" s="526"/>
      <c r="S797" s="161"/>
      <c r="T797" s="524" t="s">
        <v>89</v>
      </c>
      <c r="U797" s="525"/>
      <c r="V797" s="525"/>
      <c r="W797" s="525"/>
      <c r="X797" s="525"/>
      <c r="Y797" s="526"/>
      <c r="Z797" s="162"/>
      <c r="AA797" s="159"/>
      <c r="AB797" s="158"/>
      <c r="AC797" s="158"/>
    </row>
    <row r="798" spans="1:29" ht="18" customHeight="1" x14ac:dyDescent="0.2">
      <c r="A798" s="163"/>
      <c r="B798" s="149"/>
      <c r="C798" s="535" t="s">
        <v>220</v>
      </c>
      <c r="D798" s="531"/>
      <c r="E798" s="531"/>
      <c r="F798" s="531"/>
      <c r="G798" s="164" t="str">
        <f>$J$1</f>
        <v>September</v>
      </c>
      <c r="H798" s="536">
        <f>$K$1</f>
        <v>2024</v>
      </c>
      <c r="I798" s="531"/>
      <c r="J798" s="149"/>
      <c r="K798" s="165"/>
      <c r="L798" s="166"/>
      <c r="M798" s="167"/>
      <c r="N798" s="168"/>
      <c r="O798" s="169" t="s">
        <v>91</v>
      </c>
      <c r="P798" s="169" t="s">
        <v>92</v>
      </c>
      <c r="Q798" s="169" t="s">
        <v>93</v>
      </c>
      <c r="R798" s="169" t="s">
        <v>94</v>
      </c>
      <c r="S798" s="170"/>
      <c r="T798" s="169" t="s">
        <v>91</v>
      </c>
      <c r="U798" s="169" t="s">
        <v>95</v>
      </c>
      <c r="V798" s="169" t="s">
        <v>9</v>
      </c>
      <c r="W798" s="169" t="s">
        <v>10</v>
      </c>
      <c r="X798" s="169" t="s">
        <v>11</v>
      </c>
      <c r="Y798" s="169" t="s">
        <v>96</v>
      </c>
      <c r="Z798" s="171"/>
      <c r="AA798" s="167"/>
      <c r="AB798" s="158"/>
      <c r="AC798" s="158"/>
    </row>
    <row r="799" spans="1:29" ht="18" customHeight="1" x14ac:dyDescent="0.2">
      <c r="A799" s="163"/>
      <c r="B799" s="149"/>
      <c r="C799" s="149"/>
      <c r="D799" s="172"/>
      <c r="E799" s="172"/>
      <c r="F799" s="172"/>
      <c r="G799" s="172"/>
      <c r="H799" s="172"/>
      <c r="I799" s="149"/>
      <c r="J799" s="173" t="s">
        <v>97</v>
      </c>
      <c r="K799" s="151">
        <v>45000</v>
      </c>
      <c r="L799" s="174"/>
      <c r="M799" s="158"/>
      <c r="N799" s="175"/>
      <c r="O799" s="176" t="s">
        <v>98</v>
      </c>
      <c r="P799" s="176"/>
      <c r="Q799" s="176"/>
      <c r="R799" s="176">
        <v>0</v>
      </c>
      <c r="S799" s="177"/>
      <c r="T799" s="176" t="s">
        <v>98</v>
      </c>
      <c r="U799" s="178"/>
      <c r="V799" s="178"/>
      <c r="W799" s="178">
        <f>V799+U799</f>
        <v>0</v>
      </c>
      <c r="X799" s="178"/>
      <c r="Y799" s="178">
        <f>W799-X799</f>
        <v>0</v>
      </c>
      <c r="Z799" s="171"/>
      <c r="AA799" s="158"/>
      <c r="AB799" s="158"/>
      <c r="AC799" s="158"/>
    </row>
    <row r="800" spans="1:29" ht="18" customHeight="1" x14ac:dyDescent="0.2">
      <c r="A800" s="163"/>
      <c r="B800" s="149" t="s">
        <v>99</v>
      </c>
      <c r="C800" s="148" t="s">
        <v>221</v>
      </c>
      <c r="D800" s="149"/>
      <c r="E800" s="149"/>
      <c r="F800" s="149"/>
      <c r="G800" s="149"/>
      <c r="H800" s="179"/>
      <c r="I800" s="172"/>
      <c r="J800" s="149"/>
      <c r="K800" s="149"/>
      <c r="L800" s="180"/>
      <c r="M800" s="159"/>
      <c r="N800" s="181"/>
      <c r="O800" s="176" t="s">
        <v>100</v>
      </c>
      <c r="P800" s="176"/>
      <c r="Q800" s="176"/>
      <c r="R800" s="176">
        <v>0</v>
      </c>
      <c r="S800" s="156"/>
      <c r="T800" s="176" t="s">
        <v>100</v>
      </c>
      <c r="U800" s="182">
        <f>Y799</f>
        <v>0</v>
      </c>
      <c r="V800" s="178"/>
      <c r="W800" s="182">
        <f t="shared" ref="W800:W810" si="215">IF(U800="","",U800+V800)</f>
        <v>0</v>
      </c>
      <c r="X800" s="178"/>
      <c r="Y800" s="182">
        <f t="shared" ref="Y800:Y810" si="216">IF(W800="","",W800-X800)</f>
        <v>0</v>
      </c>
      <c r="Z800" s="183"/>
      <c r="AA800" s="159"/>
      <c r="AB800" s="158"/>
      <c r="AC800" s="158"/>
    </row>
    <row r="801" spans="1:29" ht="18" customHeight="1" x14ac:dyDescent="0.2">
      <c r="A801" s="163"/>
      <c r="B801" s="184" t="s">
        <v>101</v>
      </c>
      <c r="C801" s="231"/>
      <c r="D801" s="149"/>
      <c r="E801" s="149"/>
      <c r="F801" s="529" t="s">
        <v>89</v>
      </c>
      <c r="G801" s="503"/>
      <c r="H801" s="149"/>
      <c r="I801" s="529" t="s">
        <v>102</v>
      </c>
      <c r="J801" s="502"/>
      <c r="K801" s="503"/>
      <c r="L801" s="186"/>
      <c r="M801" s="158"/>
      <c r="N801" s="175"/>
      <c r="O801" s="176" t="s">
        <v>103</v>
      </c>
      <c r="P801" s="176"/>
      <c r="Q801" s="176"/>
      <c r="R801" s="176">
        <v>0</v>
      </c>
      <c r="S801" s="156"/>
      <c r="T801" s="176" t="s">
        <v>103</v>
      </c>
      <c r="U801" s="182">
        <f t="shared" ref="U801:U802" si="217">IF($J$1="April",Y800,Y800)</f>
        <v>0</v>
      </c>
      <c r="V801" s="178"/>
      <c r="W801" s="182">
        <f t="shared" si="215"/>
        <v>0</v>
      </c>
      <c r="X801" s="178"/>
      <c r="Y801" s="182">
        <f t="shared" si="216"/>
        <v>0</v>
      </c>
      <c r="Z801" s="183"/>
      <c r="AA801" s="158"/>
      <c r="AB801" s="158"/>
      <c r="AC801" s="158"/>
    </row>
    <row r="802" spans="1:29" ht="18" customHeight="1" x14ac:dyDescent="0.2">
      <c r="A802" s="163"/>
      <c r="B802" s="149"/>
      <c r="C802" s="149"/>
      <c r="D802" s="149"/>
      <c r="E802" s="149"/>
      <c r="F802" s="149"/>
      <c r="G802" s="149"/>
      <c r="H802" s="187"/>
      <c r="I802" s="149"/>
      <c r="J802" s="149"/>
      <c r="K802" s="149"/>
      <c r="L802" s="188"/>
      <c r="M802" s="158"/>
      <c r="N802" s="175"/>
      <c r="O802" s="176" t="s">
        <v>104</v>
      </c>
      <c r="P802" s="176"/>
      <c r="Q802" s="176"/>
      <c r="R802" s="176">
        <v>0</v>
      </c>
      <c r="S802" s="156"/>
      <c r="T802" s="176" t="s">
        <v>104</v>
      </c>
      <c r="U802" s="182">
        <f t="shared" si="217"/>
        <v>0</v>
      </c>
      <c r="V802" s="178"/>
      <c r="W802" s="182">
        <f t="shared" si="215"/>
        <v>0</v>
      </c>
      <c r="X802" s="178"/>
      <c r="Y802" s="182">
        <f t="shared" si="216"/>
        <v>0</v>
      </c>
      <c r="Z802" s="183"/>
      <c r="AA802" s="158"/>
      <c r="AB802" s="158"/>
      <c r="AC802" s="158"/>
    </row>
    <row r="803" spans="1:29" ht="18" customHeight="1" x14ac:dyDescent="0.2">
      <c r="A803" s="163"/>
      <c r="B803" s="527" t="s">
        <v>88</v>
      </c>
      <c r="C803" s="503"/>
      <c r="D803" s="149"/>
      <c r="E803" s="149"/>
      <c r="F803" s="189" t="s">
        <v>105</v>
      </c>
      <c r="G803" s="190">
        <f>IF($J$1="January",U799,IF($J$1="February",U800,IF($J$1="March",U801,IF($J$1="April",U802,IF($J$1="May",U803,IF($J$1="June",U804,IF($J$1="July",U805,IF($J$1="August",U806,IF($J$1="August",U806,IF($J$1="September",U807,IF($J$1="October",U808,IF($J$1="November",U809,IF($J$1="December",U810)))))))))))))</f>
        <v>0</v>
      </c>
      <c r="H803" s="187"/>
      <c r="I803" s="191">
        <f>IF(C807&gt;0,$K$2,C805)</f>
        <v>30</v>
      </c>
      <c r="J803" s="192" t="s">
        <v>106</v>
      </c>
      <c r="K803" s="193">
        <f>K799/$K$2*I803</f>
        <v>45000</v>
      </c>
      <c r="L803" s="194"/>
      <c r="M803" s="158"/>
      <c r="N803" s="175"/>
      <c r="O803" s="176" t="s">
        <v>107</v>
      </c>
      <c r="P803" s="176">
        <v>30</v>
      </c>
      <c r="Q803" s="176">
        <v>1</v>
      </c>
      <c r="R803" s="176">
        <v>0</v>
      </c>
      <c r="S803" s="156"/>
      <c r="T803" s="176" t="s">
        <v>107</v>
      </c>
      <c r="U803" s="182">
        <f t="shared" ref="U803:U805" si="218">IF($J$1="May",Y802,Y802)</f>
        <v>0</v>
      </c>
      <c r="V803" s="178"/>
      <c r="W803" s="182">
        <f t="shared" si="215"/>
        <v>0</v>
      </c>
      <c r="X803" s="178"/>
      <c r="Y803" s="182">
        <f t="shared" si="216"/>
        <v>0</v>
      </c>
      <c r="Z803" s="183"/>
      <c r="AA803" s="158"/>
      <c r="AB803" s="158"/>
      <c r="AC803" s="158"/>
    </row>
    <row r="804" spans="1:29" ht="18" customHeight="1" x14ac:dyDescent="0.2">
      <c r="A804" s="163"/>
      <c r="B804" s="195"/>
      <c r="C804" s="195"/>
      <c r="D804" s="149"/>
      <c r="E804" s="149"/>
      <c r="F804" s="189" t="s">
        <v>9</v>
      </c>
      <c r="G804" s="190">
        <f>IF($J$1="January",V799,IF($J$1="February",V800,IF($J$1="March",V801,IF($J$1="April",V802,IF($J$1="May",V803,IF($J$1="June",V804,IF($J$1="July",V805,IF($J$1="August",V806,IF($J$1="August",V806,IF($J$1="September",V807,IF($J$1="October",V808,IF($J$1="November",V809,IF($J$1="December",V810)))))))))))))</f>
        <v>0</v>
      </c>
      <c r="H804" s="187"/>
      <c r="I804" s="211">
        <v>79</v>
      </c>
      <c r="J804" s="192" t="s">
        <v>108</v>
      </c>
      <c r="K804" s="190">
        <f>K799/$K$2/8*I804</f>
        <v>14812.5</v>
      </c>
      <c r="L804" s="196"/>
      <c r="M804" s="158"/>
      <c r="N804" s="175"/>
      <c r="O804" s="176" t="s">
        <v>84</v>
      </c>
      <c r="P804" s="176">
        <v>30</v>
      </c>
      <c r="Q804" s="176">
        <v>0</v>
      </c>
      <c r="R804" s="176">
        <f t="shared" ref="R804:R810" si="219">IF(Q804="","",R803-Q804)</f>
        <v>0</v>
      </c>
      <c r="S804" s="156"/>
      <c r="T804" s="176" t="s">
        <v>84</v>
      </c>
      <c r="U804" s="182">
        <f t="shared" si="218"/>
        <v>0</v>
      </c>
      <c r="V804" s="178"/>
      <c r="W804" s="182">
        <f t="shared" si="215"/>
        <v>0</v>
      </c>
      <c r="X804" s="178"/>
      <c r="Y804" s="182">
        <f t="shared" si="216"/>
        <v>0</v>
      </c>
      <c r="Z804" s="183"/>
      <c r="AA804" s="158"/>
      <c r="AB804" s="158"/>
      <c r="AC804" s="158"/>
    </row>
    <row r="805" spans="1:29" ht="18" customHeight="1" x14ac:dyDescent="0.2">
      <c r="A805" s="163"/>
      <c r="B805" s="189" t="s">
        <v>92</v>
      </c>
      <c r="C805" s="195">
        <f>IF($J$1="January",P799,IF($J$1="February",P800,IF($J$1="March",P801,IF($J$1="April",P802,IF($J$1="May",P803,IF($J$1="June",P804,IF($J$1="July",P805,IF($J$1="August",P806,IF($J$1="August",P806,IF($J$1="September",P807,IF($J$1="October",P808,IF($J$1="November",P809,IF($J$1="December",P810)))))))))))))</f>
        <v>30</v>
      </c>
      <c r="D805" s="149"/>
      <c r="E805" s="149"/>
      <c r="F805" s="189" t="s">
        <v>109</v>
      </c>
      <c r="G805" s="190">
        <f>IF($J$1="January",W799,IF($J$1="February",W800,IF($J$1="March",W801,IF($J$1="April",W802,IF($J$1="May",W803,IF($J$1="June",W804,IF($J$1="July",W805,IF($J$1="August",W806,IF($J$1="August",W806,IF($J$1="September",W807,IF($J$1="October",W808,IF($J$1="November",W809,IF($J$1="December",W810)))))))))))))</f>
        <v>0</v>
      </c>
      <c r="H805" s="187"/>
      <c r="I805" s="528" t="s">
        <v>110</v>
      </c>
      <c r="J805" s="503"/>
      <c r="K805" s="190">
        <f>K803+K804</f>
        <v>59812.5</v>
      </c>
      <c r="L805" s="196"/>
      <c r="M805" s="158"/>
      <c r="N805" s="175"/>
      <c r="O805" s="176" t="s">
        <v>111</v>
      </c>
      <c r="P805" s="176">
        <v>31</v>
      </c>
      <c r="Q805" s="176">
        <v>0</v>
      </c>
      <c r="R805" s="176">
        <f t="shared" si="219"/>
        <v>0</v>
      </c>
      <c r="S805" s="156"/>
      <c r="T805" s="176" t="s">
        <v>111</v>
      </c>
      <c r="U805" s="182">
        <f t="shared" si="218"/>
        <v>0</v>
      </c>
      <c r="V805" s="178"/>
      <c r="W805" s="182">
        <f t="shared" si="215"/>
        <v>0</v>
      </c>
      <c r="X805" s="178"/>
      <c r="Y805" s="182">
        <f t="shared" si="216"/>
        <v>0</v>
      </c>
      <c r="Z805" s="183"/>
      <c r="AA805" s="158"/>
      <c r="AB805" s="158"/>
      <c r="AC805" s="158"/>
    </row>
    <row r="806" spans="1:29" ht="18" customHeight="1" x14ac:dyDescent="0.2">
      <c r="A806" s="163"/>
      <c r="B806" s="189" t="s">
        <v>93</v>
      </c>
      <c r="C806" s="195">
        <f>IF($J$1="January",Q799,IF($J$1="February",Q800,IF($J$1="March",Q801,IF($J$1="April",Q802,IF($J$1="May",Q803,IF($J$1="June",Q804,IF($J$1="July",Q805,IF($J$1="August",Q806,IF($J$1="August",Q806,IF($J$1="September",Q807,IF($J$1="October",Q808,IF($J$1="November",Q809,IF($J$1="December",Q810)))))))))))))</f>
        <v>0</v>
      </c>
      <c r="D806" s="149"/>
      <c r="E806" s="149"/>
      <c r="F806" s="189" t="s">
        <v>11</v>
      </c>
      <c r="G806" s="190">
        <f>IF($J$1="January",X799,IF($J$1="February",X800,IF($J$1="March",X801,IF($J$1="April",X802,IF($J$1="May",X803,IF($J$1="June",X804,IF($J$1="July",X805,IF($J$1="August",X806,IF($J$1="August",X806,IF($J$1="September",X807,IF($J$1="October",X808,IF($J$1="November",X809,IF($J$1="December",X810)))))))))))))</f>
        <v>0</v>
      </c>
      <c r="H806" s="187"/>
      <c r="I806" s="528" t="s">
        <v>112</v>
      </c>
      <c r="J806" s="503"/>
      <c r="K806" s="190">
        <f>G806</f>
        <v>0</v>
      </c>
      <c r="L806" s="196"/>
      <c r="M806" s="158"/>
      <c r="N806" s="175"/>
      <c r="O806" s="176" t="s">
        <v>113</v>
      </c>
      <c r="P806" s="176">
        <v>31</v>
      </c>
      <c r="Q806" s="176">
        <v>0</v>
      </c>
      <c r="R806" s="176">
        <f t="shared" si="219"/>
        <v>0</v>
      </c>
      <c r="S806" s="156"/>
      <c r="T806" s="176" t="s">
        <v>113</v>
      </c>
      <c r="U806" s="182">
        <f t="shared" ref="U806:U807" si="220">IF($J$1="September",Y805,"")</f>
        <v>0</v>
      </c>
      <c r="V806" s="178"/>
      <c r="W806" s="182">
        <f t="shared" si="215"/>
        <v>0</v>
      </c>
      <c r="X806" s="178"/>
      <c r="Y806" s="182">
        <f t="shared" si="216"/>
        <v>0</v>
      </c>
      <c r="Z806" s="183"/>
      <c r="AA806" s="158"/>
      <c r="AB806" s="158"/>
      <c r="AC806" s="158"/>
    </row>
    <row r="807" spans="1:29" ht="18" customHeight="1" x14ac:dyDescent="0.2">
      <c r="A807" s="163"/>
      <c r="B807" s="212" t="s">
        <v>114</v>
      </c>
      <c r="C807" s="195">
        <f>IF($J$1="January",R799,IF($J$1="February",R800,IF($J$1="March",R801,IF($J$1="April",R802,IF($J$1="May",R803,IF($J$1="June",R804,IF($J$1="July",R805,IF($J$1="August",R806,IF($J$1="August",R806,IF($J$1="September",R807,IF($J$1="October",R808,IF($J$1="November",R809,IF($J$1="December",R810)))))))))))))</f>
        <v>0</v>
      </c>
      <c r="D807" s="149"/>
      <c r="E807" s="149"/>
      <c r="F807" s="189" t="s">
        <v>167</v>
      </c>
      <c r="G807" s="190">
        <f>IF($J$1="January",Y799,IF($J$1="February",Y800,IF($J$1="March",Y801,IF($J$1="April",Y802,IF($J$1="May",Y803,IF($J$1="June",Y804,IF($J$1="July",Y805,IF($J$1="August",Y806,IF($J$1="August",Y806,IF($J$1="September",Y807,IF($J$1="October",Y808,IF($J$1="November",Y809,IF($J$1="December",Y810)))))))))))))</f>
        <v>0</v>
      </c>
      <c r="H807" s="149"/>
      <c r="I807" s="529" t="s">
        <v>13</v>
      </c>
      <c r="J807" s="503"/>
      <c r="K807" s="37">
        <f>K805-K806</f>
        <v>59812.5</v>
      </c>
      <c r="L807" s="180"/>
      <c r="M807" s="158"/>
      <c r="N807" s="175"/>
      <c r="O807" s="176" t="s">
        <v>116</v>
      </c>
      <c r="P807" s="176">
        <v>30</v>
      </c>
      <c r="Q807" s="176">
        <v>0</v>
      </c>
      <c r="R807" s="176">
        <f t="shared" si="219"/>
        <v>0</v>
      </c>
      <c r="S807" s="156"/>
      <c r="T807" s="176" t="s">
        <v>116</v>
      </c>
      <c r="U807" s="182">
        <f t="shared" si="220"/>
        <v>0</v>
      </c>
      <c r="V807" s="178"/>
      <c r="W807" s="182">
        <f t="shared" si="215"/>
        <v>0</v>
      </c>
      <c r="X807" s="178"/>
      <c r="Y807" s="182">
        <f t="shared" si="216"/>
        <v>0</v>
      </c>
      <c r="Z807" s="183"/>
      <c r="AA807" s="158"/>
      <c r="AB807" s="158"/>
      <c r="AC807" s="158"/>
    </row>
    <row r="808" spans="1:29" ht="18" customHeight="1" x14ac:dyDescent="0.2">
      <c r="A808" s="163"/>
      <c r="B808" s="149"/>
      <c r="C808" s="149"/>
      <c r="D808" s="149"/>
      <c r="E808" s="149"/>
      <c r="F808" s="149"/>
      <c r="G808" s="149"/>
      <c r="H808" s="149"/>
      <c r="I808" s="530"/>
      <c r="J808" s="531"/>
      <c r="K808" s="151"/>
      <c r="L808" s="186"/>
      <c r="M808" s="158"/>
      <c r="N808" s="175"/>
      <c r="O808" s="176" t="s">
        <v>117</v>
      </c>
      <c r="P808" s="176"/>
      <c r="Q808" s="176"/>
      <c r="R808" s="176" t="str">
        <f t="shared" si="219"/>
        <v/>
      </c>
      <c r="S808" s="156"/>
      <c r="T808" s="176" t="s">
        <v>117</v>
      </c>
      <c r="U808" s="182" t="str">
        <f>IF($J$1="October",Y807,"")</f>
        <v/>
      </c>
      <c r="V808" s="178"/>
      <c r="W808" s="182" t="str">
        <f t="shared" si="215"/>
        <v/>
      </c>
      <c r="X808" s="178"/>
      <c r="Y808" s="182" t="str">
        <f t="shared" si="216"/>
        <v/>
      </c>
      <c r="Z808" s="183"/>
      <c r="AA808" s="158"/>
      <c r="AB808" s="158"/>
      <c r="AC808" s="158"/>
    </row>
    <row r="809" spans="1:29" ht="18" customHeight="1" x14ac:dyDescent="0.3">
      <c r="A809" s="163"/>
      <c r="B809" s="147"/>
      <c r="C809" s="147"/>
      <c r="D809" s="147"/>
      <c r="E809" s="147"/>
      <c r="F809" s="147"/>
      <c r="G809" s="147"/>
      <c r="H809" s="147"/>
      <c r="I809" s="530"/>
      <c r="J809" s="531"/>
      <c r="K809" s="151"/>
      <c r="L809" s="186"/>
      <c r="M809" s="158"/>
      <c r="N809" s="175"/>
      <c r="O809" s="176" t="s">
        <v>118</v>
      </c>
      <c r="P809" s="176"/>
      <c r="Q809" s="176"/>
      <c r="R809" s="176" t="str">
        <f t="shared" si="219"/>
        <v/>
      </c>
      <c r="S809" s="156"/>
      <c r="T809" s="176" t="s">
        <v>118</v>
      </c>
      <c r="U809" s="182" t="str">
        <f>IF($J$1="November",Y808,"")</f>
        <v/>
      </c>
      <c r="V809" s="178"/>
      <c r="W809" s="182" t="str">
        <f t="shared" si="215"/>
        <v/>
      </c>
      <c r="X809" s="178"/>
      <c r="Y809" s="182" t="str">
        <f t="shared" si="216"/>
        <v/>
      </c>
      <c r="Z809" s="183"/>
      <c r="AA809" s="158"/>
      <c r="AB809" s="158"/>
      <c r="AC809" s="158"/>
    </row>
    <row r="810" spans="1:29" ht="18" customHeight="1" x14ac:dyDescent="0.3">
      <c r="A810" s="163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86"/>
      <c r="M810" s="158"/>
      <c r="N810" s="175"/>
      <c r="O810" s="176" t="s">
        <v>119</v>
      </c>
      <c r="P810" s="176"/>
      <c r="Q810" s="176"/>
      <c r="R810" s="176" t="str">
        <f t="shared" si="219"/>
        <v/>
      </c>
      <c r="S810" s="156"/>
      <c r="T810" s="176" t="s">
        <v>119</v>
      </c>
      <c r="U810" s="182" t="str">
        <f>IF($J$1="Dec",Y809,"")</f>
        <v/>
      </c>
      <c r="V810" s="178"/>
      <c r="W810" s="182" t="str">
        <f t="shared" si="215"/>
        <v/>
      </c>
      <c r="X810" s="178"/>
      <c r="Y810" s="182" t="str">
        <f t="shared" si="216"/>
        <v/>
      </c>
      <c r="Z810" s="183"/>
      <c r="AA810" s="158"/>
      <c r="AB810" s="158"/>
      <c r="AC810" s="158"/>
    </row>
    <row r="811" spans="1:29" ht="18" customHeight="1" thickBot="1" x14ac:dyDescent="0.25">
      <c r="A811" s="197"/>
      <c r="B811" s="213"/>
      <c r="C811" s="213"/>
      <c r="D811" s="213"/>
      <c r="E811" s="213"/>
      <c r="F811" s="213"/>
      <c r="G811" s="213"/>
      <c r="H811" s="213"/>
      <c r="I811" s="213"/>
      <c r="J811" s="213"/>
      <c r="K811" s="213"/>
      <c r="L811" s="199"/>
      <c r="M811" s="158"/>
      <c r="N811" s="214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8"/>
      <c r="AA811" s="158"/>
      <c r="AB811" s="158"/>
      <c r="AC811" s="158"/>
    </row>
    <row r="812" spans="1:29" ht="18" customHeight="1" thickBot="1" x14ac:dyDescent="0.25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58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8"/>
      <c r="AB812" s="158"/>
      <c r="AC812" s="158"/>
    </row>
    <row r="813" spans="1:29" ht="18" customHeight="1" x14ac:dyDescent="0.2">
      <c r="A813" s="540" t="s">
        <v>87</v>
      </c>
      <c r="B813" s="538"/>
      <c r="C813" s="538"/>
      <c r="D813" s="538"/>
      <c r="E813" s="538"/>
      <c r="F813" s="538"/>
      <c r="G813" s="538"/>
      <c r="H813" s="538"/>
      <c r="I813" s="538"/>
      <c r="J813" s="538"/>
      <c r="K813" s="538"/>
      <c r="L813" s="539"/>
      <c r="M813" s="159"/>
      <c r="N813" s="160"/>
      <c r="O813" s="524" t="s">
        <v>88</v>
      </c>
      <c r="P813" s="525"/>
      <c r="Q813" s="525"/>
      <c r="R813" s="526"/>
      <c r="S813" s="161"/>
      <c r="T813" s="524" t="s">
        <v>89</v>
      </c>
      <c r="U813" s="525"/>
      <c r="V813" s="525"/>
      <c r="W813" s="525"/>
      <c r="X813" s="525"/>
      <c r="Y813" s="526"/>
      <c r="Z813" s="162"/>
      <c r="AA813" s="159"/>
      <c r="AB813" s="158"/>
      <c r="AC813" s="158"/>
    </row>
    <row r="814" spans="1:29" ht="18" customHeight="1" x14ac:dyDescent="0.2">
      <c r="A814" s="163"/>
      <c r="B814" s="149"/>
      <c r="C814" s="535" t="s">
        <v>222</v>
      </c>
      <c r="D814" s="531"/>
      <c r="E814" s="531"/>
      <c r="F814" s="531"/>
      <c r="G814" s="164" t="str">
        <f>$J$1</f>
        <v>September</v>
      </c>
      <c r="H814" s="536">
        <f>$K$1</f>
        <v>2024</v>
      </c>
      <c r="I814" s="531"/>
      <c r="J814" s="149"/>
      <c r="K814" s="165"/>
      <c r="L814" s="166"/>
      <c r="M814" s="167"/>
      <c r="N814" s="168"/>
      <c r="O814" s="169" t="s">
        <v>91</v>
      </c>
      <c r="P814" s="169" t="s">
        <v>92</v>
      </c>
      <c r="Q814" s="169" t="s">
        <v>93</v>
      </c>
      <c r="R814" s="169" t="s">
        <v>94</v>
      </c>
      <c r="S814" s="170"/>
      <c r="T814" s="169" t="s">
        <v>91</v>
      </c>
      <c r="U814" s="169" t="s">
        <v>95</v>
      </c>
      <c r="V814" s="169" t="s">
        <v>9</v>
      </c>
      <c r="W814" s="169" t="s">
        <v>10</v>
      </c>
      <c r="X814" s="169" t="s">
        <v>11</v>
      </c>
      <c r="Y814" s="169" t="s">
        <v>96</v>
      </c>
      <c r="Z814" s="171"/>
      <c r="AA814" s="167"/>
      <c r="AB814" s="158"/>
      <c r="AC814" s="158"/>
    </row>
    <row r="815" spans="1:29" ht="18" customHeight="1" x14ac:dyDescent="0.2">
      <c r="A815" s="163"/>
      <c r="B815" s="149"/>
      <c r="C815" s="149"/>
      <c r="D815" s="172"/>
      <c r="E815" s="172"/>
      <c r="F815" s="172"/>
      <c r="G815" s="172"/>
      <c r="H815" s="172"/>
      <c r="I815" s="149"/>
      <c r="J815" s="173" t="s">
        <v>97</v>
      </c>
      <c r="K815" s="151">
        <v>35000</v>
      </c>
      <c r="L815" s="174"/>
      <c r="M815" s="158"/>
      <c r="N815" s="175"/>
      <c r="O815" s="176" t="s">
        <v>98</v>
      </c>
      <c r="P815" s="176"/>
      <c r="Q815" s="176"/>
      <c r="R815" s="176"/>
      <c r="S815" s="177"/>
      <c r="T815" s="176" t="s">
        <v>98</v>
      </c>
      <c r="U815" s="178"/>
      <c r="V815" s="178"/>
      <c r="W815" s="178">
        <f>V815+U815</f>
        <v>0</v>
      </c>
      <c r="X815" s="178"/>
      <c r="Y815" s="178">
        <f>W815-X815</f>
        <v>0</v>
      </c>
      <c r="Z815" s="171"/>
      <c r="AA815" s="158"/>
      <c r="AB815" s="158"/>
      <c r="AC815" s="158"/>
    </row>
    <row r="816" spans="1:29" ht="18" customHeight="1" x14ac:dyDescent="0.2">
      <c r="A816" s="163"/>
      <c r="B816" s="149" t="s">
        <v>99</v>
      </c>
      <c r="C816" s="148" t="s">
        <v>223</v>
      </c>
      <c r="D816" s="149"/>
      <c r="E816" s="149"/>
      <c r="F816" s="149"/>
      <c r="G816" s="149"/>
      <c r="H816" s="179"/>
      <c r="I816" s="172"/>
      <c r="J816" s="149"/>
      <c r="K816" s="149"/>
      <c r="L816" s="180"/>
      <c r="M816" s="159"/>
      <c r="N816" s="181"/>
      <c r="O816" s="176" t="s">
        <v>100</v>
      </c>
      <c r="P816" s="176"/>
      <c r="Q816" s="176"/>
      <c r="R816" s="176" t="str">
        <f t="shared" ref="R816:R817" si="221">IF(Q816="","",R815-Q816)</f>
        <v/>
      </c>
      <c r="S816" s="156"/>
      <c r="T816" s="176" t="s">
        <v>100</v>
      </c>
      <c r="U816" s="182">
        <f>Y815</f>
        <v>0</v>
      </c>
      <c r="V816" s="178"/>
      <c r="W816" s="182">
        <f t="shared" ref="W816:W826" si="222">IF(U816="","",U816+V816)</f>
        <v>0</v>
      </c>
      <c r="X816" s="178"/>
      <c r="Y816" s="182">
        <f t="shared" ref="Y816:Y826" si="223">IF(W816="","",W816-X816)</f>
        <v>0</v>
      </c>
      <c r="Z816" s="183"/>
      <c r="AA816" s="159"/>
      <c r="AB816" s="158"/>
      <c r="AC816" s="158"/>
    </row>
    <row r="817" spans="1:29" ht="18" customHeight="1" x14ac:dyDescent="0.2">
      <c r="A817" s="163"/>
      <c r="B817" s="184" t="s">
        <v>101</v>
      </c>
      <c r="C817" s="231"/>
      <c r="D817" s="149"/>
      <c r="E817" s="149"/>
      <c r="F817" s="529" t="s">
        <v>89</v>
      </c>
      <c r="G817" s="503"/>
      <c r="H817" s="149"/>
      <c r="I817" s="529" t="s">
        <v>102</v>
      </c>
      <c r="J817" s="502"/>
      <c r="K817" s="503"/>
      <c r="L817" s="186"/>
      <c r="M817" s="158"/>
      <c r="N817" s="175"/>
      <c r="O817" s="176" t="s">
        <v>103</v>
      </c>
      <c r="P817" s="176"/>
      <c r="Q817" s="176"/>
      <c r="R817" s="176" t="str">
        <f t="shared" si="221"/>
        <v/>
      </c>
      <c r="S817" s="156"/>
      <c r="T817" s="176" t="s">
        <v>103</v>
      </c>
      <c r="U817" s="182">
        <f t="shared" ref="U817:U818" si="224">IF($J$1="April",Y816,Y816)</f>
        <v>0</v>
      </c>
      <c r="V817" s="178"/>
      <c r="W817" s="182">
        <f t="shared" si="222"/>
        <v>0</v>
      </c>
      <c r="X817" s="178"/>
      <c r="Y817" s="182">
        <f t="shared" si="223"/>
        <v>0</v>
      </c>
      <c r="Z817" s="183"/>
      <c r="AA817" s="158"/>
      <c r="AB817" s="158"/>
      <c r="AC817" s="158"/>
    </row>
    <row r="818" spans="1:29" ht="18" customHeight="1" x14ac:dyDescent="0.2">
      <c r="A818" s="163"/>
      <c r="B818" s="149"/>
      <c r="C818" s="149"/>
      <c r="D818" s="149"/>
      <c r="E818" s="149"/>
      <c r="F818" s="149"/>
      <c r="G818" s="149"/>
      <c r="H818" s="187"/>
      <c r="I818" s="149"/>
      <c r="J818" s="149"/>
      <c r="K818" s="149"/>
      <c r="L818" s="188"/>
      <c r="M818" s="158"/>
      <c r="N818" s="175"/>
      <c r="O818" s="176" t="s">
        <v>104</v>
      </c>
      <c r="P818" s="176"/>
      <c r="Q818" s="176"/>
      <c r="R818" s="176">
        <v>0</v>
      </c>
      <c r="S818" s="156"/>
      <c r="T818" s="176" t="s">
        <v>104</v>
      </c>
      <c r="U818" s="182">
        <f t="shared" si="224"/>
        <v>0</v>
      </c>
      <c r="V818" s="178"/>
      <c r="W818" s="182">
        <f t="shared" si="222"/>
        <v>0</v>
      </c>
      <c r="X818" s="178"/>
      <c r="Y818" s="182">
        <f t="shared" si="223"/>
        <v>0</v>
      </c>
      <c r="Z818" s="183"/>
      <c r="AA818" s="158"/>
      <c r="AB818" s="158"/>
      <c r="AC818" s="158"/>
    </row>
    <row r="819" spans="1:29" ht="18" customHeight="1" x14ac:dyDescent="0.2">
      <c r="A819" s="163"/>
      <c r="B819" s="527" t="s">
        <v>88</v>
      </c>
      <c r="C819" s="503"/>
      <c r="D819" s="149"/>
      <c r="E819" s="149"/>
      <c r="F819" s="189" t="s">
        <v>105</v>
      </c>
      <c r="G819" s="190">
        <f>IF($J$1="January",U815,IF($J$1="February",U816,IF($J$1="March",U817,IF($J$1="April",U818,IF($J$1="May",U819,IF($J$1="June",U820,IF($J$1="July",U821,IF($J$1="August",U822,IF($J$1="August",U822,IF($J$1="September",U823,IF($J$1="October",U824,IF($J$1="November",U825,IF($J$1="December",U826)))))))))))))</f>
        <v>0</v>
      </c>
      <c r="H819" s="187"/>
      <c r="I819" s="191">
        <f>IF(C823&gt;0,$K$2,C821)</f>
        <v>30</v>
      </c>
      <c r="J819" s="192" t="s">
        <v>106</v>
      </c>
      <c r="K819" s="193">
        <f>K815/$K$2*I819</f>
        <v>35000</v>
      </c>
      <c r="L819" s="194"/>
      <c r="M819" s="158"/>
      <c r="N819" s="175"/>
      <c r="O819" s="176" t="s">
        <v>107</v>
      </c>
      <c r="P819" s="176">
        <v>30</v>
      </c>
      <c r="Q819" s="176">
        <v>1</v>
      </c>
      <c r="R819" s="176">
        <v>0</v>
      </c>
      <c r="S819" s="156"/>
      <c r="T819" s="176" t="s">
        <v>107</v>
      </c>
      <c r="U819" s="182">
        <f t="shared" ref="U819:U821" si="225">IF($J$1="May",Y818,Y818)</f>
        <v>0</v>
      </c>
      <c r="V819" s="178"/>
      <c r="W819" s="182">
        <f t="shared" si="222"/>
        <v>0</v>
      </c>
      <c r="X819" s="178"/>
      <c r="Y819" s="182">
        <f t="shared" si="223"/>
        <v>0</v>
      </c>
      <c r="Z819" s="183"/>
      <c r="AA819" s="158"/>
      <c r="AB819" s="158"/>
      <c r="AC819" s="158"/>
    </row>
    <row r="820" spans="1:29" ht="18" customHeight="1" x14ac:dyDescent="0.2">
      <c r="A820" s="163"/>
      <c r="B820" s="195"/>
      <c r="C820" s="195"/>
      <c r="D820" s="149"/>
      <c r="E820" s="149"/>
      <c r="F820" s="189" t="s">
        <v>9</v>
      </c>
      <c r="G820" s="190">
        <f>IF($J$1="January",V815,IF($J$1="February",V816,IF($J$1="March",V817,IF($J$1="April",V818,IF($J$1="May",V819,IF($J$1="June",V820,IF($J$1="July",V821,IF($J$1="August",V822,IF($J$1="August",V822,IF($J$1="September",V823,IF($J$1="October",V824,IF($J$1="November",V825,IF($J$1="December",V826)))))))))))))</f>
        <v>0</v>
      </c>
      <c r="H820" s="187"/>
      <c r="I820" s="211">
        <v>39</v>
      </c>
      <c r="J820" s="192" t="s">
        <v>108</v>
      </c>
      <c r="K820" s="190">
        <f>K815/$K$2/8*I820</f>
        <v>5687.5</v>
      </c>
      <c r="L820" s="196"/>
      <c r="M820" s="158"/>
      <c r="N820" s="175"/>
      <c r="O820" s="176" t="s">
        <v>84</v>
      </c>
      <c r="P820" s="176">
        <v>29</v>
      </c>
      <c r="Q820" s="176">
        <v>1</v>
      </c>
      <c r="R820" s="176">
        <v>0</v>
      </c>
      <c r="S820" s="156"/>
      <c r="T820" s="176" t="s">
        <v>84</v>
      </c>
      <c r="U820" s="182">
        <f t="shared" si="225"/>
        <v>0</v>
      </c>
      <c r="V820" s="178"/>
      <c r="W820" s="182">
        <f t="shared" si="222"/>
        <v>0</v>
      </c>
      <c r="X820" s="178"/>
      <c r="Y820" s="182">
        <f t="shared" si="223"/>
        <v>0</v>
      </c>
      <c r="Z820" s="183"/>
      <c r="AA820" s="158"/>
      <c r="AB820" s="158"/>
      <c r="AC820" s="158"/>
    </row>
    <row r="821" spans="1:29" ht="18" customHeight="1" x14ac:dyDescent="0.2">
      <c r="A821" s="163"/>
      <c r="B821" s="189" t="s">
        <v>92</v>
      </c>
      <c r="C821" s="195">
        <f>IF($J$1="January",P815,IF($J$1="February",P816,IF($J$1="March",P817,IF($J$1="April",P818,IF($J$1="May",P819,IF($J$1="June",P820,IF($J$1="July",P821,IF($J$1="August",P822,IF($J$1="August",P822,IF($J$1="September",P823,IF($J$1="October",P824,IF($J$1="November",P825,IF($J$1="December",P826)))))))))))))</f>
        <v>30</v>
      </c>
      <c r="D821" s="149"/>
      <c r="E821" s="149"/>
      <c r="F821" s="189" t="s">
        <v>109</v>
      </c>
      <c r="G821" s="190">
        <f>IF($J$1="January",W815,IF($J$1="February",W816,IF($J$1="March",W817,IF($J$1="April",W818,IF($J$1="May",W819,IF($J$1="June",W820,IF($J$1="July",W821,IF($J$1="August",W822,IF($J$1="August",W822,IF($J$1="September",W823,IF($J$1="October",W824,IF($J$1="November",W825,IF($J$1="December",W826)))))))))))))</f>
        <v>0</v>
      </c>
      <c r="H821" s="187"/>
      <c r="I821" s="528" t="s">
        <v>110</v>
      </c>
      <c r="J821" s="503"/>
      <c r="K821" s="190">
        <f>K819+K820</f>
        <v>40687.5</v>
      </c>
      <c r="L821" s="196"/>
      <c r="M821" s="158"/>
      <c r="N821" s="175"/>
      <c r="O821" s="176" t="s">
        <v>111</v>
      </c>
      <c r="P821" s="176">
        <v>31</v>
      </c>
      <c r="Q821" s="176">
        <v>0</v>
      </c>
      <c r="R821" s="176">
        <v>0</v>
      </c>
      <c r="S821" s="156"/>
      <c r="T821" s="176" t="s">
        <v>111</v>
      </c>
      <c r="U821" s="182">
        <f t="shared" si="225"/>
        <v>0</v>
      </c>
      <c r="V821" s="178"/>
      <c r="W821" s="182">
        <f t="shared" si="222"/>
        <v>0</v>
      </c>
      <c r="X821" s="178"/>
      <c r="Y821" s="182">
        <f t="shared" si="223"/>
        <v>0</v>
      </c>
      <c r="Z821" s="183"/>
      <c r="AA821" s="158"/>
      <c r="AB821" s="158"/>
      <c r="AC821" s="158"/>
    </row>
    <row r="822" spans="1:29" ht="18" customHeight="1" x14ac:dyDescent="0.2">
      <c r="A822" s="163"/>
      <c r="B822" s="189" t="s">
        <v>93</v>
      </c>
      <c r="C822" s="195">
        <f>IF($J$1="January",Q815,IF($J$1="February",Q816,IF($J$1="March",Q817,IF($J$1="April",Q818,IF($J$1="May",Q819,IF($J$1="June",Q820,IF($J$1="July",Q821,IF($J$1="August",Q822,IF($J$1="August",Q822,IF($J$1="September",Q823,IF($J$1="October",Q824,IF($J$1="November",Q825,IF($J$1="December",Q826)))))))))))))</f>
        <v>0</v>
      </c>
      <c r="D822" s="149"/>
      <c r="E822" s="149"/>
      <c r="F822" s="189" t="s">
        <v>11</v>
      </c>
      <c r="G822" s="190">
        <f>IF($J$1="January",X815,IF($J$1="February",X816,IF($J$1="March",X817,IF($J$1="April",X818,IF($J$1="May",X819,IF($J$1="June",X820,IF($J$1="July",X821,IF($J$1="August",X822,IF($J$1="August",X822,IF($J$1="September",X823,IF($J$1="October",X824,IF($J$1="November",X825,IF($J$1="December",X826)))))))))))))</f>
        <v>0</v>
      </c>
      <c r="H822" s="187"/>
      <c r="I822" s="528" t="s">
        <v>112</v>
      </c>
      <c r="J822" s="503"/>
      <c r="K822" s="190">
        <f>G822</f>
        <v>0</v>
      </c>
      <c r="L822" s="196"/>
      <c r="M822" s="158"/>
      <c r="N822" s="175"/>
      <c r="O822" s="176" t="s">
        <v>113</v>
      </c>
      <c r="P822" s="176">
        <v>31</v>
      </c>
      <c r="Q822" s="176">
        <v>0</v>
      </c>
      <c r="R822" s="176">
        <f t="shared" ref="R822:R826" si="226">IF(Q822="","",R821-Q822)</f>
        <v>0</v>
      </c>
      <c r="S822" s="156"/>
      <c r="T822" s="176" t="s">
        <v>113</v>
      </c>
      <c r="U822" s="182">
        <f t="shared" ref="U822:U823" si="227">IF($J$1="September",Y821,"")</f>
        <v>0</v>
      </c>
      <c r="V822" s="178"/>
      <c r="W822" s="182">
        <f t="shared" si="222"/>
        <v>0</v>
      </c>
      <c r="X822" s="178"/>
      <c r="Y822" s="182">
        <f t="shared" si="223"/>
        <v>0</v>
      </c>
      <c r="Z822" s="183"/>
      <c r="AA822" s="158"/>
      <c r="AB822" s="158"/>
      <c r="AC822" s="158"/>
    </row>
    <row r="823" spans="1:29" ht="18" customHeight="1" x14ac:dyDescent="0.2">
      <c r="A823" s="163"/>
      <c r="B823" s="212" t="s">
        <v>114</v>
      </c>
      <c r="C823" s="195">
        <f>IF($J$1="January",R815,IF($J$1="February",R816,IF($J$1="March",R817,IF($J$1="April",R818,IF($J$1="May",R819,IF($J$1="June",R820,IF($J$1="July",R821,IF($J$1="August",R822,IF($J$1="August",R822,IF($J$1="September",R823,IF($J$1="October",R824,IF($J$1="November",R825,IF($J$1="December",R826)))))))))))))</f>
        <v>0</v>
      </c>
      <c r="D823" s="149"/>
      <c r="E823" s="149"/>
      <c r="F823" s="189" t="s">
        <v>167</v>
      </c>
      <c r="G823" s="190">
        <f>IF($J$1="January",Y815,IF($J$1="February",Y816,IF($J$1="March",Y817,IF($J$1="April",Y818,IF($J$1="May",Y819,IF($J$1="June",Y820,IF($J$1="July",Y821,IF($J$1="August",Y822,IF($J$1="August",Y822,IF($J$1="September",Y823,IF($J$1="October",Y824,IF($J$1="November",Y825,IF($J$1="December",Y826)))))))))))))</f>
        <v>0</v>
      </c>
      <c r="H823" s="149"/>
      <c r="I823" s="529" t="s">
        <v>13</v>
      </c>
      <c r="J823" s="503"/>
      <c r="K823" s="37">
        <f>K821-K822</f>
        <v>40687.5</v>
      </c>
      <c r="L823" s="180"/>
      <c r="M823" s="158"/>
      <c r="N823" s="175"/>
      <c r="O823" s="176" t="s">
        <v>116</v>
      </c>
      <c r="P823" s="176">
        <v>30</v>
      </c>
      <c r="Q823" s="176">
        <v>0</v>
      </c>
      <c r="R823" s="176">
        <f t="shared" si="226"/>
        <v>0</v>
      </c>
      <c r="S823" s="156"/>
      <c r="T823" s="176" t="s">
        <v>116</v>
      </c>
      <c r="U823" s="182">
        <f t="shared" si="227"/>
        <v>0</v>
      </c>
      <c r="V823" s="178"/>
      <c r="W823" s="182">
        <f t="shared" si="222"/>
        <v>0</v>
      </c>
      <c r="X823" s="178"/>
      <c r="Y823" s="182">
        <f t="shared" si="223"/>
        <v>0</v>
      </c>
      <c r="Z823" s="183"/>
      <c r="AA823" s="158"/>
      <c r="AB823" s="158"/>
      <c r="AC823" s="158"/>
    </row>
    <row r="824" spans="1:29" ht="18" customHeight="1" x14ac:dyDescent="0.2">
      <c r="A824" s="163"/>
      <c r="B824" s="149"/>
      <c r="C824" s="149"/>
      <c r="D824" s="149"/>
      <c r="E824" s="149"/>
      <c r="F824" s="149"/>
      <c r="G824" s="149"/>
      <c r="H824" s="149"/>
      <c r="I824" s="530"/>
      <c r="J824" s="531"/>
      <c r="K824" s="151"/>
      <c r="L824" s="186"/>
      <c r="M824" s="158"/>
      <c r="N824" s="175"/>
      <c r="O824" s="176" t="s">
        <v>117</v>
      </c>
      <c r="P824" s="176"/>
      <c r="Q824" s="176"/>
      <c r="R824" s="176" t="str">
        <f t="shared" si="226"/>
        <v/>
      </c>
      <c r="S824" s="156"/>
      <c r="T824" s="176" t="s">
        <v>117</v>
      </c>
      <c r="U824" s="182" t="str">
        <f>IF($J$1="October",Y823,"")</f>
        <v/>
      </c>
      <c r="V824" s="178"/>
      <c r="W824" s="182" t="str">
        <f t="shared" si="222"/>
        <v/>
      </c>
      <c r="X824" s="178"/>
      <c r="Y824" s="182" t="str">
        <f t="shared" si="223"/>
        <v/>
      </c>
      <c r="Z824" s="183"/>
      <c r="AA824" s="158"/>
      <c r="AB824" s="158"/>
      <c r="AC824" s="158"/>
    </row>
    <row r="825" spans="1:29" ht="18" customHeight="1" x14ac:dyDescent="0.3">
      <c r="A825" s="163"/>
      <c r="B825" s="147"/>
      <c r="C825" s="147"/>
      <c r="D825" s="147"/>
      <c r="E825" s="147"/>
      <c r="F825" s="147"/>
      <c r="G825" s="147"/>
      <c r="H825" s="147"/>
      <c r="I825" s="530"/>
      <c r="J825" s="531"/>
      <c r="K825" s="151"/>
      <c r="L825" s="186"/>
      <c r="M825" s="158"/>
      <c r="N825" s="175"/>
      <c r="O825" s="176" t="s">
        <v>118</v>
      </c>
      <c r="P825" s="176"/>
      <c r="Q825" s="176"/>
      <c r="R825" s="176" t="str">
        <f t="shared" si="226"/>
        <v/>
      </c>
      <c r="S825" s="156"/>
      <c r="T825" s="176" t="s">
        <v>118</v>
      </c>
      <c r="U825" s="182" t="str">
        <f>IF($J$1="November",Y824,"")</f>
        <v/>
      </c>
      <c r="V825" s="178"/>
      <c r="W825" s="182" t="str">
        <f t="shared" si="222"/>
        <v/>
      </c>
      <c r="X825" s="178"/>
      <c r="Y825" s="182" t="str">
        <f t="shared" si="223"/>
        <v/>
      </c>
      <c r="Z825" s="183"/>
      <c r="AA825" s="158"/>
      <c r="AB825" s="158"/>
      <c r="AC825" s="158"/>
    </row>
    <row r="826" spans="1:29" ht="18" customHeight="1" x14ac:dyDescent="0.3">
      <c r="A826" s="163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86"/>
      <c r="M826" s="158"/>
      <c r="N826" s="175"/>
      <c r="O826" s="176" t="s">
        <v>119</v>
      </c>
      <c r="P826" s="176"/>
      <c r="Q826" s="176"/>
      <c r="R826" s="176" t="str">
        <f t="shared" si="226"/>
        <v/>
      </c>
      <c r="S826" s="156"/>
      <c r="T826" s="176" t="s">
        <v>119</v>
      </c>
      <c r="U826" s="182" t="str">
        <f>IF($J$1="Dec",Y825,"")</f>
        <v/>
      </c>
      <c r="V826" s="178"/>
      <c r="W826" s="182" t="str">
        <f t="shared" si="222"/>
        <v/>
      </c>
      <c r="X826" s="178"/>
      <c r="Y826" s="182" t="str">
        <f t="shared" si="223"/>
        <v/>
      </c>
      <c r="Z826" s="183"/>
      <c r="AA826" s="158"/>
      <c r="AB826" s="158"/>
      <c r="AC826" s="158"/>
    </row>
    <row r="827" spans="1:29" ht="18" customHeight="1" thickBot="1" x14ac:dyDescent="0.25">
      <c r="A827" s="197"/>
      <c r="B827" s="213"/>
      <c r="C827" s="213"/>
      <c r="D827" s="213"/>
      <c r="E827" s="213"/>
      <c r="F827" s="213"/>
      <c r="G827" s="213"/>
      <c r="H827" s="213"/>
      <c r="I827" s="213"/>
      <c r="J827" s="213"/>
      <c r="K827" s="213"/>
      <c r="L827" s="199"/>
      <c r="M827" s="158"/>
      <c r="N827" s="214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8"/>
      <c r="AA827" s="158"/>
      <c r="AB827" s="158"/>
      <c r="AC827" s="158"/>
    </row>
    <row r="828" spans="1:29" ht="27.75" customHeight="1" thickBot="1" x14ac:dyDescent="0.35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  <c r="AA828" s="150"/>
      <c r="AB828" s="150"/>
      <c r="AC828" s="150"/>
    </row>
    <row r="829" spans="1:29" ht="18" customHeight="1" x14ac:dyDescent="0.2">
      <c r="A829" s="540" t="s">
        <v>87</v>
      </c>
      <c r="B829" s="538"/>
      <c r="C829" s="538"/>
      <c r="D829" s="538"/>
      <c r="E829" s="538"/>
      <c r="F829" s="538"/>
      <c r="G829" s="538"/>
      <c r="H829" s="538"/>
      <c r="I829" s="538"/>
      <c r="J829" s="538"/>
      <c r="K829" s="538"/>
      <c r="L829" s="539"/>
      <c r="M829" s="159"/>
      <c r="N829" s="160"/>
      <c r="O829" s="524" t="s">
        <v>88</v>
      </c>
      <c r="P829" s="525"/>
      <c r="Q829" s="525"/>
      <c r="R829" s="526"/>
      <c r="S829" s="161"/>
      <c r="T829" s="524" t="s">
        <v>89</v>
      </c>
      <c r="U829" s="525"/>
      <c r="V829" s="525"/>
      <c r="W829" s="525"/>
      <c r="X829" s="525"/>
      <c r="Y829" s="526"/>
      <c r="Z829" s="162"/>
      <c r="AA829" s="159"/>
      <c r="AB829" s="158"/>
      <c r="AC829" s="158"/>
    </row>
    <row r="830" spans="1:29" ht="18" customHeight="1" x14ac:dyDescent="0.2">
      <c r="A830" s="163"/>
      <c r="B830" s="149"/>
      <c r="C830" s="535" t="s">
        <v>224</v>
      </c>
      <c r="D830" s="531"/>
      <c r="E830" s="531"/>
      <c r="F830" s="531"/>
      <c r="G830" s="164" t="str">
        <f>$J$1</f>
        <v>September</v>
      </c>
      <c r="H830" s="536">
        <f>$K$1</f>
        <v>2024</v>
      </c>
      <c r="I830" s="531"/>
      <c r="J830" s="149"/>
      <c r="K830" s="165"/>
      <c r="L830" s="166"/>
      <c r="M830" s="167"/>
      <c r="N830" s="168"/>
      <c r="O830" s="169" t="s">
        <v>91</v>
      </c>
      <c r="P830" s="169" t="s">
        <v>92</v>
      </c>
      <c r="Q830" s="169" t="s">
        <v>93</v>
      </c>
      <c r="R830" s="169" t="s">
        <v>94</v>
      </c>
      <c r="S830" s="170"/>
      <c r="T830" s="169" t="s">
        <v>91</v>
      </c>
      <c r="U830" s="169" t="s">
        <v>95</v>
      </c>
      <c r="V830" s="169" t="s">
        <v>9</v>
      </c>
      <c r="W830" s="169" t="s">
        <v>10</v>
      </c>
      <c r="X830" s="169" t="s">
        <v>11</v>
      </c>
      <c r="Y830" s="169" t="s">
        <v>96</v>
      </c>
      <c r="Z830" s="171"/>
      <c r="AA830" s="167"/>
      <c r="AB830" s="158"/>
      <c r="AC830" s="158"/>
    </row>
    <row r="831" spans="1:29" ht="18" customHeight="1" x14ac:dyDescent="0.2">
      <c r="A831" s="163"/>
      <c r="B831" s="149"/>
      <c r="C831" s="149"/>
      <c r="D831" s="172"/>
      <c r="E831" s="172"/>
      <c r="F831" s="172"/>
      <c r="G831" s="172"/>
      <c r="H831" s="172"/>
      <c r="I831" s="149"/>
      <c r="J831" s="173" t="s">
        <v>97</v>
      </c>
      <c r="K831" s="151">
        <v>60000</v>
      </c>
      <c r="L831" s="174"/>
      <c r="M831" s="158"/>
      <c r="N831" s="175"/>
      <c r="O831" s="176" t="s">
        <v>98</v>
      </c>
      <c r="P831" s="176"/>
      <c r="Q831" s="176"/>
      <c r="R831" s="176"/>
      <c r="S831" s="177"/>
      <c r="T831" s="176" t="s">
        <v>98</v>
      </c>
      <c r="U831" s="178"/>
      <c r="V831" s="178"/>
      <c r="W831" s="178">
        <f>V831+U831</f>
        <v>0</v>
      </c>
      <c r="X831" s="178"/>
      <c r="Y831" s="178">
        <f>W831-X831</f>
        <v>0</v>
      </c>
      <c r="Z831" s="171"/>
      <c r="AA831" s="158"/>
      <c r="AB831" s="158"/>
      <c r="AC831" s="158"/>
    </row>
    <row r="832" spans="1:29" ht="18" customHeight="1" x14ac:dyDescent="0.2">
      <c r="A832" s="163"/>
      <c r="B832" s="149" t="s">
        <v>99</v>
      </c>
      <c r="C832" s="148" t="s">
        <v>225</v>
      </c>
      <c r="D832" s="149"/>
      <c r="E832" s="149"/>
      <c r="F832" s="149"/>
      <c r="G832" s="149"/>
      <c r="H832" s="179"/>
      <c r="I832" s="172"/>
      <c r="J832" s="149"/>
      <c r="K832" s="149"/>
      <c r="L832" s="180"/>
      <c r="M832" s="159"/>
      <c r="N832" s="181"/>
      <c r="O832" s="176" t="s">
        <v>100</v>
      </c>
      <c r="P832" s="176"/>
      <c r="Q832" s="176"/>
      <c r="R832" s="176" t="str">
        <f t="shared" ref="R832:R833" si="228">IF(Q832="","",R831-Q832)</f>
        <v/>
      </c>
      <c r="S832" s="156"/>
      <c r="T832" s="176" t="s">
        <v>100</v>
      </c>
      <c r="U832" s="182">
        <f>Y831</f>
        <v>0</v>
      </c>
      <c r="V832" s="178"/>
      <c r="W832" s="182">
        <f t="shared" ref="W832:W842" si="229">IF(U832="","",U832+V832)</f>
        <v>0</v>
      </c>
      <c r="X832" s="178"/>
      <c r="Y832" s="182">
        <f t="shared" ref="Y832:Y842" si="230">IF(W832="","",W832-X832)</f>
        <v>0</v>
      </c>
      <c r="Z832" s="183"/>
      <c r="AA832" s="159"/>
      <c r="AB832" s="158"/>
      <c r="AC832" s="158"/>
    </row>
    <row r="833" spans="1:29" ht="18" customHeight="1" x14ac:dyDescent="0.2">
      <c r="A833" s="163"/>
      <c r="B833" s="184" t="s">
        <v>101</v>
      </c>
      <c r="C833" s="210">
        <v>45413</v>
      </c>
      <c r="D833" s="149"/>
      <c r="E833" s="149"/>
      <c r="F833" s="529" t="s">
        <v>89</v>
      </c>
      <c r="G833" s="503"/>
      <c r="H833" s="149"/>
      <c r="I833" s="529" t="s">
        <v>102</v>
      </c>
      <c r="J833" s="502"/>
      <c r="K833" s="503"/>
      <c r="L833" s="186"/>
      <c r="M833" s="158"/>
      <c r="N833" s="175"/>
      <c r="O833" s="176" t="s">
        <v>103</v>
      </c>
      <c r="P833" s="176"/>
      <c r="Q833" s="176"/>
      <c r="R833" s="176" t="str">
        <f t="shared" si="228"/>
        <v/>
      </c>
      <c r="S833" s="156"/>
      <c r="T833" s="176" t="s">
        <v>103</v>
      </c>
      <c r="U833" s="182">
        <f t="shared" ref="U833:U834" si="231">IF($J$1="April",Y832,Y832)</f>
        <v>0</v>
      </c>
      <c r="V833" s="178"/>
      <c r="W833" s="182">
        <f t="shared" si="229"/>
        <v>0</v>
      </c>
      <c r="X833" s="178"/>
      <c r="Y833" s="182">
        <f t="shared" si="230"/>
        <v>0</v>
      </c>
      <c r="Z833" s="183"/>
      <c r="AA833" s="158"/>
      <c r="AB833" s="158"/>
      <c r="AC833" s="158"/>
    </row>
    <row r="834" spans="1:29" ht="18" customHeight="1" x14ac:dyDescent="0.2">
      <c r="A834" s="163"/>
      <c r="B834" s="149"/>
      <c r="C834" s="149"/>
      <c r="D834" s="149"/>
      <c r="E834" s="149"/>
      <c r="F834" s="149"/>
      <c r="G834" s="149"/>
      <c r="H834" s="187"/>
      <c r="I834" s="149"/>
      <c r="J834" s="149"/>
      <c r="K834" s="149"/>
      <c r="L834" s="188"/>
      <c r="M834" s="158"/>
      <c r="N834" s="175"/>
      <c r="O834" s="176" t="s">
        <v>104</v>
      </c>
      <c r="P834" s="176"/>
      <c r="Q834" s="176"/>
      <c r="R834" s="176">
        <v>0</v>
      </c>
      <c r="S834" s="156"/>
      <c r="T834" s="176" t="s">
        <v>104</v>
      </c>
      <c r="U834" s="182">
        <f t="shared" si="231"/>
        <v>0</v>
      </c>
      <c r="V834" s="178"/>
      <c r="W834" s="182">
        <f t="shared" si="229"/>
        <v>0</v>
      </c>
      <c r="X834" s="178"/>
      <c r="Y834" s="182">
        <f t="shared" si="230"/>
        <v>0</v>
      </c>
      <c r="Z834" s="183"/>
      <c r="AA834" s="158"/>
      <c r="AB834" s="158"/>
      <c r="AC834" s="158"/>
    </row>
    <row r="835" spans="1:29" ht="18" customHeight="1" x14ac:dyDescent="0.2">
      <c r="A835" s="163"/>
      <c r="B835" s="527" t="s">
        <v>88</v>
      </c>
      <c r="C835" s="503"/>
      <c r="D835" s="149"/>
      <c r="E835" s="149"/>
      <c r="F835" s="189" t="s">
        <v>105</v>
      </c>
      <c r="G835" s="190">
        <f>IF($J$1="January",U831,IF($J$1="February",U832,IF($J$1="March",U833,IF($J$1="April",U834,IF($J$1="May",U835,IF($J$1="June",U836,IF($J$1="July",U837,IF($J$1="August",U838,IF($J$1="August",U838,IF($J$1="September",U839,IF($J$1="October",U840,IF($J$1="November",U841,IF($J$1="December",U842)))))))))))))</f>
        <v>0</v>
      </c>
      <c r="H835" s="187"/>
      <c r="I835" s="191">
        <f>IF(C839&gt;0,$K$2,C837)</f>
        <v>19</v>
      </c>
      <c r="J835" s="192" t="s">
        <v>106</v>
      </c>
      <c r="K835" s="193">
        <f>K831/$K$2*I835</f>
        <v>38000</v>
      </c>
      <c r="L835" s="194"/>
      <c r="M835" s="158"/>
      <c r="N835" s="175"/>
      <c r="O835" s="176" t="s">
        <v>107</v>
      </c>
      <c r="P835" s="176">
        <v>30</v>
      </c>
      <c r="Q835" s="176">
        <v>1</v>
      </c>
      <c r="R835" s="176">
        <v>0</v>
      </c>
      <c r="S835" s="156"/>
      <c r="T835" s="176" t="s">
        <v>107</v>
      </c>
      <c r="U835" s="182">
        <f t="shared" ref="U835:U837" si="232">IF($J$1="May",Y834,Y834)</f>
        <v>0</v>
      </c>
      <c r="V835" s="178"/>
      <c r="W835" s="182">
        <f t="shared" si="229"/>
        <v>0</v>
      </c>
      <c r="X835" s="178"/>
      <c r="Y835" s="182">
        <f t="shared" si="230"/>
        <v>0</v>
      </c>
      <c r="Z835" s="183"/>
      <c r="AA835" s="158"/>
      <c r="AB835" s="158"/>
      <c r="AC835" s="158"/>
    </row>
    <row r="836" spans="1:29" ht="18" customHeight="1" x14ac:dyDescent="0.2">
      <c r="A836" s="163"/>
      <c r="B836" s="195"/>
      <c r="C836" s="195"/>
      <c r="D836" s="149"/>
      <c r="E836" s="149"/>
      <c r="F836" s="189" t="s">
        <v>9</v>
      </c>
      <c r="G836" s="190">
        <f>IF($J$1="January",V831,IF($J$1="February",V832,IF($J$1="March",V833,IF($J$1="April",V834,IF($J$1="May",V835,IF($J$1="June",V836,IF($J$1="July",V837,IF($J$1="August",V838,IF($J$1="August",V838,IF($J$1="September",V839,IF($J$1="October",V840,IF($J$1="November",V841,IF($J$1="December",V842)))))))))))))</f>
        <v>0</v>
      </c>
      <c r="H836" s="187"/>
      <c r="I836" s="211"/>
      <c r="J836" s="192" t="s">
        <v>108</v>
      </c>
      <c r="K836" s="190">
        <f>K831/$K$2/8*I836</f>
        <v>0</v>
      </c>
      <c r="L836" s="196"/>
      <c r="M836" s="158"/>
      <c r="N836" s="175"/>
      <c r="O836" s="176" t="s">
        <v>84</v>
      </c>
      <c r="P836" s="176">
        <v>28</v>
      </c>
      <c r="Q836" s="176">
        <v>2</v>
      </c>
      <c r="R836" s="176">
        <v>0</v>
      </c>
      <c r="S836" s="156"/>
      <c r="T836" s="176" t="s">
        <v>84</v>
      </c>
      <c r="U836" s="182">
        <f t="shared" si="232"/>
        <v>0</v>
      </c>
      <c r="V836" s="178"/>
      <c r="W836" s="182">
        <f t="shared" si="229"/>
        <v>0</v>
      </c>
      <c r="X836" s="178"/>
      <c r="Y836" s="182">
        <f t="shared" si="230"/>
        <v>0</v>
      </c>
      <c r="Z836" s="183"/>
      <c r="AA836" s="158"/>
      <c r="AB836" s="158"/>
      <c r="AC836" s="158"/>
    </row>
    <row r="837" spans="1:29" ht="18" customHeight="1" x14ac:dyDescent="0.2">
      <c r="A837" s="163"/>
      <c r="B837" s="189" t="s">
        <v>92</v>
      </c>
      <c r="C837" s="195">
        <f>IF($J$1="January",P831,IF($J$1="February",P832,IF($J$1="March",P833,IF($J$1="April",P834,IF($J$1="May",P835,IF($J$1="June",P836,IF($J$1="July",P837,IF($J$1="August",P838,IF($J$1="August",P838,IF($J$1="September",P839,IF($J$1="October",P840,IF($J$1="November",P841,IF($J$1="December",P842)))))))))))))</f>
        <v>19</v>
      </c>
      <c r="D837" s="149"/>
      <c r="E837" s="149">
        <v>0</v>
      </c>
      <c r="F837" s="189" t="s">
        <v>109</v>
      </c>
      <c r="G837" s="190">
        <f>IF($J$1="January",W831,IF($J$1="February",W832,IF($J$1="March",W833,IF($J$1="April",W834,IF($J$1="May",W835,IF($J$1="June",W836,IF($J$1="July",W837,IF($J$1="August",W838,IF($J$1="August",W838,IF($J$1="September",W839,IF($J$1="October",W840,IF($J$1="November",W841,IF($J$1="December",W842)))))))))))))</f>
        <v>0</v>
      </c>
      <c r="H837" s="187"/>
      <c r="I837" s="528" t="s">
        <v>110</v>
      </c>
      <c r="J837" s="503"/>
      <c r="K837" s="190">
        <f>K835+K836</f>
        <v>38000</v>
      </c>
      <c r="L837" s="196"/>
      <c r="M837" s="158"/>
      <c r="N837" s="175"/>
      <c r="O837" s="176" t="s">
        <v>111</v>
      </c>
      <c r="P837" s="176">
        <v>27</v>
      </c>
      <c r="Q837" s="176">
        <v>4</v>
      </c>
      <c r="R837" s="176">
        <v>0</v>
      </c>
      <c r="S837" s="156"/>
      <c r="T837" s="176" t="s">
        <v>111</v>
      </c>
      <c r="U837" s="182">
        <f t="shared" si="232"/>
        <v>0</v>
      </c>
      <c r="V837" s="178"/>
      <c r="W837" s="182">
        <f t="shared" si="229"/>
        <v>0</v>
      </c>
      <c r="X837" s="178"/>
      <c r="Y837" s="182">
        <f t="shared" si="230"/>
        <v>0</v>
      </c>
      <c r="Z837" s="183"/>
      <c r="AA837" s="158"/>
      <c r="AB837" s="158"/>
      <c r="AC837" s="158"/>
    </row>
    <row r="838" spans="1:29" ht="18" customHeight="1" x14ac:dyDescent="0.2">
      <c r="A838" s="163"/>
      <c r="B838" s="189" t="s">
        <v>93</v>
      </c>
      <c r="C838" s="195">
        <f>IF($J$1="January",Q831,IF($J$1="February",Q832,IF($J$1="March",Q833,IF($J$1="April",Q834,IF($J$1="May",Q835,IF($J$1="June",Q836,IF($J$1="July",Q837,IF($J$1="August",Q838,IF($J$1="August",Q838,IF($J$1="September",Q839,IF($J$1="October",Q840,IF($J$1="November",Q841,IF($J$1="December",Q842)))))))))))))</f>
        <v>11</v>
      </c>
      <c r="D838" s="149"/>
      <c r="E838" s="149"/>
      <c r="F838" s="189" t="s">
        <v>11</v>
      </c>
      <c r="G838" s="190">
        <f>IF($J$1="January",X831,IF($J$1="February",X832,IF($J$1="March",X833,IF($J$1="April",X834,IF($J$1="May",X835,IF($J$1="June",X836,IF($J$1="July",X837,IF($J$1="August",X838,IF($J$1="August",X838,IF($J$1="September",X839,IF($J$1="October",X840,IF($J$1="November",X841,IF($J$1="December",X842)))))))))))))</f>
        <v>0</v>
      </c>
      <c r="H838" s="187"/>
      <c r="I838" s="528" t="s">
        <v>112</v>
      </c>
      <c r="J838" s="503"/>
      <c r="K838" s="190">
        <f>G838</f>
        <v>0</v>
      </c>
      <c r="L838" s="196"/>
      <c r="M838" s="158"/>
      <c r="N838" s="175"/>
      <c r="O838" s="176" t="s">
        <v>113</v>
      </c>
      <c r="P838" s="176">
        <v>19</v>
      </c>
      <c r="Q838" s="176">
        <v>11</v>
      </c>
      <c r="R838" s="176">
        <v>0</v>
      </c>
      <c r="S838" s="156"/>
      <c r="T838" s="176" t="s">
        <v>113</v>
      </c>
      <c r="U838" s="182">
        <f t="shared" ref="U838:U839" si="233">IF($J$1="September",Y837,"")</f>
        <v>0</v>
      </c>
      <c r="V838" s="178"/>
      <c r="W838" s="182">
        <f t="shared" si="229"/>
        <v>0</v>
      </c>
      <c r="X838" s="178"/>
      <c r="Y838" s="182">
        <f t="shared" si="230"/>
        <v>0</v>
      </c>
      <c r="Z838" s="183"/>
      <c r="AA838" s="158"/>
      <c r="AB838" s="158"/>
      <c r="AC838" s="158"/>
    </row>
    <row r="839" spans="1:29" ht="18" customHeight="1" x14ac:dyDescent="0.2">
      <c r="A839" s="163"/>
      <c r="B839" s="212" t="s">
        <v>114</v>
      </c>
      <c r="C839" s="195">
        <v>0</v>
      </c>
      <c r="D839" s="149"/>
      <c r="E839" s="149"/>
      <c r="F839" s="189" t="s">
        <v>167</v>
      </c>
      <c r="G839" s="190">
        <f>IF($J$1="January",Y831,IF($J$1="February",Y832,IF($J$1="March",Y833,IF($J$1="April",Y834,IF($J$1="May",Y835,IF($J$1="June",Y836,IF($J$1="July",Y837,IF($J$1="August",Y838,IF($J$1="August",Y838,IF($J$1="September",Y839,IF($J$1="October",Y840,IF($J$1="November",Y841,IF($J$1="December",Y842)))))))))))))</f>
        <v>0</v>
      </c>
      <c r="H839" s="149"/>
      <c r="I839" s="529" t="s">
        <v>13</v>
      </c>
      <c r="J839" s="503"/>
      <c r="K839" s="37">
        <f>K837-K838</f>
        <v>38000</v>
      </c>
      <c r="L839" s="180"/>
      <c r="M839" s="158"/>
      <c r="N839" s="175"/>
      <c r="O839" s="176" t="s">
        <v>116</v>
      </c>
      <c r="P839" s="176">
        <v>19</v>
      </c>
      <c r="Q839" s="176">
        <v>11</v>
      </c>
      <c r="R839" s="176">
        <f t="shared" ref="R839:R842" si="234">IF(Q839="","",R838-Q839)</f>
        <v>-11</v>
      </c>
      <c r="S839" s="156"/>
      <c r="T839" s="176" t="s">
        <v>116</v>
      </c>
      <c r="U839" s="182">
        <f t="shared" si="233"/>
        <v>0</v>
      </c>
      <c r="V839" s="178"/>
      <c r="W839" s="182">
        <f t="shared" si="229"/>
        <v>0</v>
      </c>
      <c r="X839" s="178"/>
      <c r="Y839" s="182">
        <f t="shared" si="230"/>
        <v>0</v>
      </c>
      <c r="Z839" s="183"/>
      <c r="AA839" s="158"/>
      <c r="AB839" s="158"/>
      <c r="AC839" s="158"/>
    </row>
    <row r="840" spans="1:29" ht="18" customHeight="1" x14ac:dyDescent="0.2">
      <c r="A840" s="163"/>
      <c r="B840" s="149"/>
      <c r="C840" s="149"/>
      <c r="D840" s="149"/>
      <c r="E840" s="149"/>
      <c r="F840" s="149"/>
      <c r="G840" s="149"/>
      <c r="H840" s="149"/>
      <c r="I840" s="530"/>
      <c r="J840" s="531"/>
      <c r="K840" s="151"/>
      <c r="L840" s="186"/>
      <c r="M840" s="158"/>
      <c r="N840" s="175"/>
      <c r="O840" s="176" t="s">
        <v>117</v>
      </c>
      <c r="P840" s="176"/>
      <c r="Q840" s="176"/>
      <c r="R840" s="176" t="str">
        <f t="shared" si="234"/>
        <v/>
      </c>
      <c r="S840" s="156"/>
      <c r="T840" s="176" t="s">
        <v>117</v>
      </c>
      <c r="U840" s="182" t="str">
        <f>IF($J$1="October",Y839,"")</f>
        <v/>
      </c>
      <c r="V840" s="178"/>
      <c r="W840" s="182" t="str">
        <f t="shared" si="229"/>
        <v/>
      </c>
      <c r="X840" s="178"/>
      <c r="Y840" s="182" t="str">
        <f t="shared" si="230"/>
        <v/>
      </c>
      <c r="Z840" s="183"/>
      <c r="AA840" s="158"/>
      <c r="AB840" s="158"/>
      <c r="AC840" s="158"/>
    </row>
    <row r="841" spans="1:29" ht="18" customHeight="1" x14ac:dyDescent="0.3">
      <c r="A841" s="163"/>
      <c r="B841" s="147"/>
      <c r="C841" s="147"/>
      <c r="D841" s="147"/>
      <c r="E841" s="147"/>
      <c r="F841" s="147"/>
      <c r="G841" s="147"/>
      <c r="H841" s="147"/>
      <c r="I841" s="530"/>
      <c r="J841" s="531"/>
      <c r="K841" s="151"/>
      <c r="L841" s="186"/>
      <c r="M841" s="158"/>
      <c r="N841" s="175"/>
      <c r="O841" s="176" t="s">
        <v>118</v>
      </c>
      <c r="P841" s="176"/>
      <c r="Q841" s="176"/>
      <c r="R841" s="176" t="str">
        <f t="shared" si="234"/>
        <v/>
      </c>
      <c r="S841" s="156"/>
      <c r="T841" s="176" t="s">
        <v>118</v>
      </c>
      <c r="U841" s="182" t="str">
        <f>IF($J$1="November",Y840,"")</f>
        <v/>
      </c>
      <c r="V841" s="178"/>
      <c r="W841" s="182" t="str">
        <f t="shared" si="229"/>
        <v/>
      </c>
      <c r="X841" s="178"/>
      <c r="Y841" s="182" t="str">
        <f t="shared" si="230"/>
        <v/>
      </c>
      <c r="Z841" s="183"/>
      <c r="AA841" s="158"/>
      <c r="AB841" s="158"/>
      <c r="AC841" s="158"/>
    </row>
    <row r="842" spans="1:29" ht="18" customHeight="1" x14ac:dyDescent="0.3">
      <c r="A842" s="163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86"/>
      <c r="M842" s="158"/>
      <c r="N842" s="175"/>
      <c r="O842" s="176" t="s">
        <v>119</v>
      </c>
      <c r="P842" s="176"/>
      <c r="Q842" s="176"/>
      <c r="R842" s="176" t="str">
        <f t="shared" si="234"/>
        <v/>
      </c>
      <c r="S842" s="156"/>
      <c r="T842" s="176" t="s">
        <v>119</v>
      </c>
      <c r="U842" s="182" t="str">
        <f>IF($J$1="Dec",Y841,"")</f>
        <v/>
      </c>
      <c r="V842" s="178"/>
      <c r="W842" s="182" t="str">
        <f t="shared" si="229"/>
        <v/>
      </c>
      <c r="X842" s="178"/>
      <c r="Y842" s="182" t="str">
        <f t="shared" si="230"/>
        <v/>
      </c>
      <c r="Z842" s="183"/>
      <c r="AA842" s="158"/>
      <c r="AB842" s="158"/>
      <c r="AC842" s="158"/>
    </row>
    <row r="843" spans="1:29" ht="18" customHeight="1" thickBot="1" x14ac:dyDescent="0.25">
      <c r="A843" s="197"/>
      <c r="B843" s="213"/>
      <c r="C843" s="213"/>
      <c r="D843" s="213"/>
      <c r="E843" s="213"/>
      <c r="F843" s="213"/>
      <c r="G843" s="213"/>
      <c r="H843" s="213"/>
      <c r="I843" s="213"/>
      <c r="J843" s="213"/>
      <c r="K843" s="213"/>
      <c r="L843" s="199"/>
      <c r="M843" s="158"/>
      <c r="N843" s="214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8"/>
      <c r="AA843" s="158"/>
      <c r="AB843" s="158"/>
      <c r="AC843" s="158"/>
    </row>
    <row r="844" spans="1:29" ht="27.75" customHeight="1" thickBot="1" x14ac:dyDescent="0.35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  <c r="AA844" s="150"/>
      <c r="AB844" s="150"/>
      <c r="AC844" s="150"/>
    </row>
    <row r="845" spans="1:29" ht="27.75" customHeight="1" x14ac:dyDescent="0.25">
      <c r="A845" s="540" t="s">
        <v>87</v>
      </c>
      <c r="B845" s="538"/>
      <c r="C845" s="538"/>
      <c r="D845" s="538"/>
      <c r="E845" s="538"/>
      <c r="F845" s="538"/>
      <c r="G845" s="538"/>
      <c r="H845" s="538"/>
      <c r="I845" s="538"/>
      <c r="J845" s="538"/>
      <c r="K845" s="538"/>
      <c r="L845" s="539"/>
      <c r="M845" s="159"/>
      <c r="N845" s="160"/>
      <c r="O845" s="524" t="s">
        <v>88</v>
      </c>
      <c r="P845" s="525"/>
      <c r="Q845" s="525"/>
      <c r="R845" s="526"/>
      <c r="S845" s="161"/>
      <c r="T845" s="524" t="s">
        <v>89</v>
      </c>
      <c r="U845" s="525"/>
      <c r="V845" s="525"/>
      <c r="W845" s="525"/>
      <c r="X845" s="525"/>
      <c r="Y845" s="526"/>
      <c r="Z845" s="162"/>
      <c r="AA845" s="150"/>
      <c r="AB845" s="150"/>
      <c r="AC845" s="150"/>
    </row>
    <row r="846" spans="1:29" ht="27.75" customHeight="1" x14ac:dyDescent="0.25">
      <c r="A846" s="163"/>
      <c r="B846" s="149"/>
      <c r="C846" s="535" t="s">
        <v>226</v>
      </c>
      <c r="D846" s="531"/>
      <c r="E846" s="531"/>
      <c r="F846" s="531"/>
      <c r="G846" s="164" t="str">
        <f>$J$1</f>
        <v>September</v>
      </c>
      <c r="H846" s="536">
        <f>$K$1</f>
        <v>2024</v>
      </c>
      <c r="I846" s="531"/>
      <c r="J846" s="149"/>
      <c r="K846" s="165"/>
      <c r="L846" s="166"/>
      <c r="M846" s="167"/>
      <c r="N846" s="168"/>
      <c r="O846" s="169" t="s">
        <v>91</v>
      </c>
      <c r="P846" s="169" t="s">
        <v>92</v>
      </c>
      <c r="Q846" s="169" t="s">
        <v>93</v>
      </c>
      <c r="R846" s="169" t="s">
        <v>94</v>
      </c>
      <c r="S846" s="170"/>
      <c r="T846" s="169" t="s">
        <v>91</v>
      </c>
      <c r="U846" s="169" t="s">
        <v>95</v>
      </c>
      <c r="V846" s="169" t="s">
        <v>9</v>
      </c>
      <c r="W846" s="169" t="s">
        <v>10</v>
      </c>
      <c r="X846" s="169" t="s">
        <v>11</v>
      </c>
      <c r="Y846" s="169" t="s">
        <v>96</v>
      </c>
      <c r="Z846" s="171"/>
      <c r="AA846" s="150"/>
      <c r="AB846" s="150"/>
      <c r="AC846" s="150"/>
    </row>
    <row r="847" spans="1:29" ht="18.75" customHeight="1" x14ac:dyDescent="0.25">
      <c r="A847" s="163"/>
      <c r="B847" s="149"/>
      <c r="C847" s="149"/>
      <c r="D847" s="172"/>
      <c r="E847" s="172"/>
      <c r="F847" s="172"/>
      <c r="G847" s="172"/>
      <c r="H847" s="172"/>
      <c r="I847" s="149"/>
      <c r="J847" s="173" t="s">
        <v>97</v>
      </c>
      <c r="K847" s="151">
        <v>1200</v>
      </c>
      <c r="L847" s="174"/>
      <c r="M847" s="158"/>
      <c r="N847" s="175"/>
      <c r="O847" s="176" t="s">
        <v>98</v>
      </c>
      <c r="P847" s="176"/>
      <c r="Q847" s="176"/>
      <c r="R847" s="176"/>
      <c r="S847" s="177"/>
      <c r="T847" s="176" t="s">
        <v>98</v>
      </c>
      <c r="U847" s="178"/>
      <c r="V847" s="178"/>
      <c r="W847" s="178">
        <f>V847+U847</f>
        <v>0</v>
      </c>
      <c r="X847" s="178"/>
      <c r="Y847" s="178">
        <f>W847-X847</f>
        <v>0</v>
      </c>
      <c r="Z847" s="171"/>
      <c r="AA847" s="150"/>
      <c r="AB847" s="150"/>
      <c r="AC847" s="150"/>
    </row>
    <row r="848" spans="1:29" ht="18.75" customHeight="1" x14ac:dyDescent="0.25">
      <c r="A848" s="163"/>
      <c r="B848" s="149" t="s">
        <v>99</v>
      </c>
      <c r="C848" s="148" t="s">
        <v>227</v>
      </c>
      <c r="D848" s="149"/>
      <c r="E848" s="149"/>
      <c r="F848" s="149"/>
      <c r="G848" s="149"/>
      <c r="H848" s="179"/>
      <c r="I848" s="172"/>
      <c r="J848" s="149"/>
      <c r="K848" s="149"/>
      <c r="L848" s="180"/>
      <c r="M848" s="159"/>
      <c r="N848" s="181"/>
      <c r="O848" s="176" t="s">
        <v>100</v>
      </c>
      <c r="P848" s="176"/>
      <c r="Q848" s="176"/>
      <c r="R848" s="176" t="str">
        <f t="shared" ref="R848:R849" si="235">IF(Q848="","",R847-Q848)</f>
        <v/>
      </c>
      <c r="S848" s="156"/>
      <c r="T848" s="176" t="s">
        <v>100</v>
      </c>
      <c r="U848" s="182">
        <f>Y847</f>
        <v>0</v>
      </c>
      <c r="V848" s="178"/>
      <c r="W848" s="182">
        <f t="shared" ref="W848:W858" si="236">IF(U848="","",U848+V848)</f>
        <v>0</v>
      </c>
      <c r="X848" s="178"/>
      <c r="Y848" s="182">
        <f t="shared" ref="Y848:Y858" si="237">IF(W848="","",W848-X848)</f>
        <v>0</v>
      </c>
      <c r="Z848" s="183"/>
      <c r="AA848" s="150"/>
      <c r="AB848" s="150"/>
      <c r="AC848" s="150"/>
    </row>
    <row r="849" spans="1:29" ht="18.75" customHeight="1" x14ac:dyDescent="0.25">
      <c r="A849" s="163"/>
      <c r="B849" s="184" t="s">
        <v>101</v>
      </c>
      <c r="C849" s="210"/>
      <c r="D849" s="149"/>
      <c r="E849" s="149"/>
      <c r="F849" s="529" t="s">
        <v>89</v>
      </c>
      <c r="G849" s="503"/>
      <c r="H849" s="149"/>
      <c r="I849" s="529" t="s">
        <v>102</v>
      </c>
      <c r="J849" s="502"/>
      <c r="K849" s="503"/>
      <c r="L849" s="186"/>
      <c r="M849" s="158"/>
      <c r="N849" s="175"/>
      <c r="O849" s="176" t="s">
        <v>103</v>
      </c>
      <c r="P849" s="176"/>
      <c r="Q849" s="176"/>
      <c r="R849" s="176" t="str">
        <f t="shared" si="235"/>
        <v/>
      </c>
      <c r="S849" s="156"/>
      <c r="T849" s="176" t="s">
        <v>103</v>
      </c>
      <c r="U849" s="182">
        <f t="shared" ref="U849:U850" si="238">IF($J$1="April",Y848,Y848)</f>
        <v>0</v>
      </c>
      <c r="V849" s="178"/>
      <c r="W849" s="182">
        <f t="shared" si="236"/>
        <v>0</v>
      </c>
      <c r="X849" s="178"/>
      <c r="Y849" s="182">
        <f t="shared" si="237"/>
        <v>0</v>
      </c>
      <c r="Z849" s="183"/>
      <c r="AA849" s="150"/>
      <c r="AB849" s="150"/>
      <c r="AC849" s="150"/>
    </row>
    <row r="850" spans="1:29" ht="18.75" customHeight="1" x14ac:dyDescent="0.25">
      <c r="A850" s="163"/>
      <c r="B850" s="149"/>
      <c r="C850" s="149"/>
      <c r="D850" s="149"/>
      <c r="E850" s="149"/>
      <c r="F850" s="149"/>
      <c r="G850" s="149"/>
      <c r="H850" s="187"/>
      <c r="I850" s="149"/>
      <c r="J850" s="149"/>
      <c r="K850" s="149"/>
      <c r="L850" s="188"/>
      <c r="M850" s="158"/>
      <c r="N850" s="175"/>
      <c r="O850" s="176" t="s">
        <v>104</v>
      </c>
      <c r="P850" s="176"/>
      <c r="Q850" s="176"/>
      <c r="R850" s="176">
        <v>0</v>
      </c>
      <c r="S850" s="156"/>
      <c r="T850" s="176" t="s">
        <v>104</v>
      </c>
      <c r="U850" s="182">
        <f t="shared" si="238"/>
        <v>0</v>
      </c>
      <c r="V850" s="178"/>
      <c r="W850" s="182">
        <f t="shared" si="236"/>
        <v>0</v>
      </c>
      <c r="X850" s="178"/>
      <c r="Y850" s="182">
        <f t="shared" si="237"/>
        <v>0</v>
      </c>
      <c r="Z850" s="183"/>
      <c r="AA850" s="150"/>
      <c r="AB850" s="150"/>
      <c r="AC850" s="150"/>
    </row>
    <row r="851" spans="1:29" ht="18.75" customHeight="1" x14ac:dyDescent="0.25">
      <c r="A851" s="163"/>
      <c r="B851" s="527" t="s">
        <v>88</v>
      </c>
      <c r="C851" s="503"/>
      <c r="D851" s="149"/>
      <c r="E851" s="149"/>
      <c r="F851" s="189" t="s">
        <v>105</v>
      </c>
      <c r="G851" s="190">
        <f>IF($J$1="January",U847,IF($J$1="February",U848,IF($J$1="March",U849,IF($J$1="April",U850,IF($J$1="May",U851,IF($J$1="June",U852,IF($J$1="July",U853,IF($J$1="August",U854,IF($J$1="August",U854,IF($J$1="September",U855,IF($J$1="October",U856,IF($J$1="November",U857,IF($J$1="December",U858)))))))))))))</f>
        <v>0</v>
      </c>
      <c r="H851" s="187"/>
      <c r="I851" s="191">
        <f>IF(C855&gt;0,$K$2,C853)</f>
        <v>30</v>
      </c>
      <c r="J851" s="192" t="s">
        <v>106</v>
      </c>
      <c r="K851" s="193">
        <f>K847*I851</f>
        <v>36000</v>
      </c>
      <c r="L851" s="194"/>
      <c r="M851" s="158"/>
      <c r="N851" s="175"/>
      <c r="O851" s="176" t="s">
        <v>107</v>
      </c>
      <c r="P851" s="176"/>
      <c r="Q851" s="176"/>
      <c r="R851" s="176">
        <v>0</v>
      </c>
      <c r="S851" s="156"/>
      <c r="T851" s="176" t="s">
        <v>107</v>
      </c>
      <c r="U851" s="182">
        <f t="shared" ref="U851:U852" si="239">IF($J$1="May",Y850,Y850)</f>
        <v>0</v>
      </c>
      <c r="V851" s="178"/>
      <c r="W851" s="182">
        <f t="shared" si="236"/>
        <v>0</v>
      </c>
      <c r="X851" s="178"/>
      <c r="Y851" s="182">
        <f t="shared" si="237"/>
        <v>0</v>
      </c>
      <c r="Z851" s="183"/>
      <c r="AA851" s="150"/>
      <c r="AB851" s="150"/>
      <c r="AC851" s="150"/>
    </row>
    <row r="852" spans="1:29" ht="18.75" customHeight="1" x14ac:dyDescent="0.25">
      <c r="A852" s="163"/>
      <c r="B852" s="195"/>
      <c r="C852" s="195"/>
      <c r="D852" s="149"/>
      <c r="E852" s="149"/>
      <c r="F852" s="189" t="s">
        <v>9</v>
      </c>
      <c r="G852" s="190">
        <f>IF($J$1="January",V847,IF($J$1="February",V848,IF($J$1="March",V849,IF($J$1="April",V850,IF($J$1="May",V851,IF($J$1="June",V852,IF($J$1="July",V853,IF($J$1="August",V854,IF($J$1="August",V854,IF($J$1="September",V855,IF($J$1="October",V856,IF($J$1="November",V857,IF($J$1="December",V858)))))))))))))</f>
        <v>0</v>
      </c>
      <c r="H852" s="187"/>
      <c r="I852" s="211">
        <v>46</v>
      </c>
      <c r="J852" s="192" t="s">
        <v>108</v>
      </c>
      <c r="K852" s="190">
        <f>K847/$K$2/8*I852</f>
        <v>230</v>
      </c>
      <c r="L852" s="196"/>
      <c r="M852" s="158"/>
      <c r="N852" s="175"/>
      <c r="O852" s="176" t="s">
        <v>84</v>
      </c>
      <c r="P852" s="176">
        <v>25</v>
      </c>
      <c r="Q852" s="176">
        <v>5</v>
      </c>
      <c r="R852" s="176">
        <v>0</v>
      </c>
      <c r="S852" s="156"/>
      <c r="T852" s="176" t="s">
        <v>84</v>
      </c>
      <c r="U852" s="182">
        <f t="shared" si="239"/>
        <v>0</v>
      </c>
      <c r="V852" s="178">
        <v>2000</v>
      </c>
      <c r="W852" s="182">
        <f t="shared" si="236"/>
        <v>2000</v>
      </c>
      <c r="X852" s="178">
        <v>2000</v>
      </c>
      <c r="Y852" s="182">
        <f t="shared" si="237"/>
        <v>0</v>
      </c>
      <c r="Z852" s="183"/>
      <c r="AA852" s="150"/>
      <c r="AB852" s="150"/>
      <c r="AC852" s="150"/>
    </row>
    <row r="853" spans="1:29" ht="18.75" customHeight="1" x14ac:dyDescent="0.25">
      <c r="A853" s="163"/>
      <c r="B853" s="189" t="s">
        <v>92</v>
      </c>
      <c r="C853" s="195">
        <f>IF($J$1="January",P847,IF($J$1="February",P848,IF($J$1="March",P849,IF($J$1="April",P850,IF($J$1="May",P851,IF($J$1="June",P852,IF($J$1="July",P853,IF($J$1="August",P854,IF($J$1="August",P854,IF($J$1="September",P855,IF($J$1="October",P856,IF($J$1="November",P857,IF($J$1="December",P858)))))))))))))</f>
        <v>0</v>
      </c>
      <c r="D853" s="149"/>
      <c r="E853" s="149"/>
      <c r="F853" s="189" t="s">
        <v>109</v>
      </c>
      <c r="G853" s="190">
        <f>IF($J$1="January",W847,IF($J$1="February",W848,IF($J$1="March",W849,IF($J$1="April",W850,IF($J$1="May",W851,IF($J$1="June",W852,IF($J$1="July",W853,IF($J$1="August",W854,IF($J$1="August",W854,IF($J$1="September",W855,IF($J$1="October",W856,IF($J$1="November",W857,IF($J$1="December",W858)))))))))))))</f>
        <v>0</v>
      </c>
      <c r="H853" s="187"/>
      <c r="I853" s="528" t="s">
        <v>110</v>
      </c>
      <c r="J853" s="503"/>
      <c r="K853" s="190">
        <f>K851+K852</f>
        <v>36230</v>
      </c>
      <c r="L853" s="196"/>
      <c r="M853" s="158"/>
      <c r="N853" s="175"/>
      <c r="O853" s="176" t="s">
        <v>111</v>
      </c>
      <c r="P853" s="176">
        <v>10</v>
      </c>
      <c r="Q853" s="176">
        <v>0</v>
      </c>
      <c r="R853" s="176">
        <f t="shared" ref="R853:R858" si="240">IF(Q853="","",R852-Q853)</f>
        <v>0</v>
      </c>
      <c r="S853" s="156"/>
      <c r="T853" s="176" t="s">
        <v>111</v>
      </c>
      <c r="U853" s="182">
        <f>Y852</f>
        <v>0</v>
      </c>
      <c r="V853" s="178">
        <v>5000</v>
      </c>
      <c r="W853" s="182">
        <f t="shared" si="236"/>
        <v>5000</v>
      </c>
      <c r="X853" s="178">
        <v>5000</v>
      </c>
      <c r="Y853" s="182">
        <f t="shared" si="237"/>
        <v>0</v>
      </c>
      <c r="Z853" s="183"/>
      <c r="AA853" s="150"/>
      <c r="AB853" s="150"/>
      <c r="AC853" s="150"/>
    </row>
    <row r="854" spans="1:29" ht="18.75" customHeight="1" x14ac:dyDescent="0.25">
      <c r="A854" s="163"/>
      <c r="B854" s="189" t="s">
        <v>93</v>
      </c>
      <c r="C854" s="195">
        <f>IF($J$1="January",Q847,IF($J$1="February",Q848,IF($J$1="March",Q849,IF($J$1="April",Q850,IF($J$1="May",Q851,IF($J$1="June",Q852,IF($J$1="July",Q853,IF($J$1="August",Q854,IF($J$1="August",Q854,IF($J$1="September",Q855,IF($J$1="October",Q856,IF($J$1="November",Q857,IF($J$1="December",Q858)))))))))))))</f>
        <v>0</v>
      </c>
      <c r="D854" s="149"/>
      <c r="E854" s="149"/>
      <c r="F854" s="189" t="s">
        <v>11</v>
      </c>
      <c r="G854" s="190">
        <f>IF($J$1="January",X847,IF($J$1="February",X848,IF($J$1="March",X849,IF($J$1="April",X850,IF($J$1="May",X851,IF($J$1="June",X852,IF($J$1="July",X853,IF($J$1="August",X854,IF($J$1="August",X854,IF($J$1="September",X855,IF($J$1="October",X856,IF($J$1="November",X857,IF($J$1="December",X858)))))))))))))</f>
        <v>0</v>
      </c>
      <c r="H854" s="187"/>
      <c r="I854" s="528" t="s">
        <v>112</v>
      </c>
      <c r="J854" s="503"/>
      <c r="K854" s="190">
        <f>G854</f>
        <v>0</v>
      </c>
      <c r="L854" s="196"/>
      <c r="M854" s="158"/>
      <c r="N854" s="175"/>
      <c r="O854" s="176" t="s">
        <v>113</v>
      </c>
      <c r="P854" s="176"/>
      <c r="Q854" s="176"/>
      <c r="R854" s="176" t="str">
        <f t="shared" si="240"/>
        <v/>
      </c>
      <c r="S854" s="156"/>
      <c r="T854" s="176" t="s">
        <v>113</v>
      </c>
      <c r="U854" s="182">
        <f t="shared" ref="U854:U855" si="241">IF($J$1="September",Y853,"")</f>
        <v>0</v>
      </c>
      <c r="V854" s="178"/>
      <c r="W854" s="182">
        <f t="shared" si="236"/>
        <v>0</v>
      </c>
      <c r="X854" s="178"/>
      <c r="Y854" s="182">
        <f t="shared" si="237"/>
        <v>0</v>
      </c>
      <c r="Z854" s="183"/>
      <c r="AA854" s="150"/>
      <c r="AB854" s="150"/>
      <c r="AC854" s="150"/>
    </row>
    <row r="855" spans="1:29" ht="18.75" customHeight="1" x14ac:dyDescent="0.25">
      <c r="A855" s="163"/>
      <c r="B855" s="212" t="s">
        <v>114</v>
      </c>
      <c r="C855" s="195" t="str">
        <f>IF($J$1="January",R847,IF($J$1="February",R848,IF($J$1="March",R849,IF($J$1="April",R850,IF($J$1="May",R851,IF($J$1="June",R852,IF($J$1="July",R853,IF($J$1="August",R854,IF($J$1="August",R854,IF($J$1="September",R855,IF($J$1="October",R856,IF($J$1="November",R857,IF($J$1="December",R858)))))))))))))</f>
        <v/>
      </c>
      <c r="D855" s="149"/>
      <c r="E855" s="149"/>
      <c r="F855" s="189" t="s">
        <v>167</v>
      </c>
      <c r="G855" s="190">
        <f>IF($J$1="January",Y847,IF($J$1="February",Y848,IF($J$1="March",Y849,IF($J$1="April",Y850,IF($J$1="May",Y851,IF($J$1="June",Y852,IF($J$1="July",Y853,IF($J$1="August",Y854,IF($J$1="August",Y854,IF($J$1="September",Y855,IF($J$1="October",Y856,IF($J$1="November",Y857,IF($J$1="December",Y858)))))))))))))</f>
        <v>0</v>
      </c>
      <c r="H855" s="149"/>
      <c r="I855" s="529" t="s">
        <v>13</v>
      </c>
      <c r="J855" s="503"/>
      <c r="K855" s="37">
        <v>0</v>
      </c>
      <c r="L855" s="180"/>
      <c r="M855" s="158"/>
      <c r="N855" s="175"/>
      <c r="O855" s="176" t="s">
        <v>116</v>
      </c>
      <c r="P855" s="176"/>
      <c r="Q855" s="176"/>
      <c r="R855" s="176" t="str">
        <f t="shared" si="240"/>
        <v/>
      </c>
      <c r="S855" s="156"/>
      <c r="T855" s="176" t="s">
        <v>116</v>
      </c>
      <c r="U855" s="182">
        <f t="shared" si="241"/>
        <v>0</v>
      </c>
      <c r="V855" s="178"/>
      <c r="W855" s="182">
        <f t="shared" si="236"/>
        <v>0</v>
      </c>
      <c r="X855" s="178"/>
      <c r="Y855" s="182">
        <f t="shared" si="237"/>
        <v>0</v>
      </c>
      <c r="Z855" s="183"/>
      <c r="AA855" s="150"/>
      <c r="AB855" s="150"/>
      <c r="AC855" s="150"/>
    </row>
    <row r="856" spans="1:29" ht="18.75" customHeight="1" x14ac:dyDescent="0.25">
      <c r="A856" s="163"/>
      <c r="B856" s="149"/>
      <c r="C856" s="149"/>
      <c r="D856" s="149"/>
      <c r="E856" s="149"/>
      <c r="F856" s="149"/>
      <c r="G856" s="149"/>
      <c r="H856" s="149"/>
      <c r="I856" s="530"/>
      <c r="J856" s="531"/>
      <c r="K856" s="151"/>
      <c r="L856" s="186"/>
      <c r="M856" s="158"/>
      <c r="N856" s="175"/>
      <c r="O856" s="176" t="s">
        <v>117</v>
      </c>
      <c r="P856" s="176"/>
      <c r="Q856" s="176"/>
      <c r="R856" s="176" t="str">
        <f t="shared" si="240"/>
        <v/>
      </c>
      <c r="S856" s="156"/>
      <c r="T856" s="176" t="s">
        <v>117</v>
      </c>
      <c r="U856" s="182" t="str">
        <f>IF($J$1="October",Y855,"")</f>
        <v/>
      </c>
      <c r="V856" s="178"/>
      <c r="W856" s="182" t="str">
        <f t="shared" si="236"/>
        <v/>
      </c>
      <c r="X856" s="178"/>
      <c r="Y856" s="182" t="str">
        <f t="shared" si="237"/>
        <v/>
      </c>
      <c r="Z856" s="183"/>
      <c r="AA856" s="150"/>
      <c r="AB856" s="150"/>
      <c r="AC856" s="150"/>
    </row>
    <row r="857" spans="1:29" ht="18.75" customHeight="1" x14ac:dyDescent="0.3">
      <c r="A857" s="163"/>
      <c r="B857" s="147"/>
      <c r="C857" s="147"/>
      <c r="D857" s="147"/>
      <c r="E857" s="147"/>
      <c r="F857" s="147"/>
      <c r="G857" s="147"/>
      <c r="H857" s="147"/>
      <c r="I857" s="530"/>
      <c r="J857" s="531"/>
      <c r="K857" s="151"/>
      <c r="L857" s="186"/>
      <c r="M857" s="158"/>
      <c r="N857" s="175"/>
      <c r="O857" s="176" t="s">
        <v>118</v>
      </c>
      <c r="P857" s="176"/>
      <c r="Q857" s="176"/>
      <c r="R857" s="176" t="str">
        <f t="shared" si="240"/>
        <v/>
      </c>
      <c r="S857" s="156"/>
      <c r="T857" s="176" t="s">
        <v>118</v>
      </c>
      <c r="U857" s="182" t="str">
        <f>IF($J$1="November",Y856,"")</f>
        <v/>
      </c>
      <c r="V857" s="178"/>
      <c r="W857" s="182" t="str">
        <f t="shared" si="236"/>
        <v/>
      </c>
      <c r="X857" s="178"/>
      <c r="Y857" s="182" t="str">
        <f t="shared" si="237"/>
        <v/>
      </c>
      <c r="Z857" s="183"/>
      <c r="AA857" s="150"/>
      <c r="AB857" s="150"/>
      <c r="AC857" s="150"/>
    </row>
    <row r="858" spans="1:29" ht="18.75" customHeight="1" x14ac:dyDescent="0.3">
      <c r="A858" s="163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86"/>
      <c r="M858" s="158"/>
      <c r="N858" s="175"/>
      <c r="O858" s="176" t="s">
        <v>119</v>
      </c>
      <c r="P858" s="176"/>
      <c r="Q858" s="176"/>
      <c r="R858" s="176" t="str">
        <f t="shared" si="240"/>
        <v/>
      </c>
      <c r="S858" s="156"/>
      <c r="T858" s="176" t="s">
        <v>119</v>
      </c>
      <c r="U858" s="182" t="str">
        <f>IF($J$1="Dec",Y857,"")</f>
        <v/>
      </c>
      <c r="V858" s="178"/>
      <c r="W858" s="182" t="str">
        <f t="shared" si="236"/>
        <v/>
      </c>
      <c r="X858" s="178"/>
      <c r="Y858" s="182" t="str">
        <f t="shared" si="237"/>
        <v/>
      </c>
      <c r="Z858" s="183"/>
      <c r="AA858" s="150"/>
      <c r="AB858" s="150"/>
      <c r="AC858" s="150"/>
    </row>
    <row r="859" spans="1:29" ht="18.75" customHeight="1" thickBot="1" x14ac:dyDescent="0.3">
      <c r="A859" s="197"/>
      <c r="B859" s="213"/>
      <c r="C859" s="213"/>
      <c r="D859" s="213"/>
      <c r="E859" s="213"/>
      <c r="F859" s="213"/>
      <c r="G859" s="213"/>
      <c r="H859" s="213"/>
      <c r="I859" s="213"/>
      <c r="J859" s="213"/>
      <c r="K859" s="213"/>
      <c r="L859" s="199"/>
      <c r="M859" s="158"/>
      <c r="N859" s="214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8"/>
      <c r="AA859" s="150"/>
      <c r="AB859" s="150"/>
      <c r="AC859" s="150"/>
    </row>
    <row r="860" spans="1:29" s="276" customFormat="1" ht="27.75" customHeight="1" thickBot="1" x14ac:dyDescent="0.35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300"/>
      <c r="N860" s="300"/>
      <c r="O860" s="300"/>
      <c r="P860" s="300"/>
      <c r="Q860" s="300"/>
      <c r="R860" s="300"/>
      <c r="S860" s="300"/>
      <c r="T860" s="300"/>
      <c r="U860" s="300"/>
      <c r="V860" s="300"/>
      <c r="W860" s="300"/>
      <c r="X860" s="300"/>
      <c r="Y860" s="300"/>
      <c r="Z860" s="300"/>
      <c r="AA860" s="300"/>
      <c r="AB860" s="300"/>
      <c r="AC860" s="300"/>
    </row>
    <row r="861" spans="1:29" ht="27.75" customHeight="1" x14ac:dyDescent="0.25">
      <c r="A861" s="540" t="s">
        <v>87</v>
      </c>
      <c r="B861" s="538"/>
      <c r="C861" s="538"/>
      <c r="D861" s="538"/>
      <c r="E861" s="538"/>
      <c r="F861" s="538"/>
      <c r="G861" s="538"/>
      <c r="H861" s="538"/>
      <c r="I861" s="538"/>
      <c r="J861" s="538"/>
      <c r="K861" s="538"/>
      <c r="L861" s="539"/>
      <c r="M861" s="159"/>
      <c r="N861" s="160"/>
      <c r="O861" s="524" t="s">
        <v>88</v>
      </c>
      <c r="P861" s="525"/>
      <c r="Q861" s="525"/>
      <c r="R861" s="526"/>
      <c r="S861" s="161"/>
      <c r="T861" s="524" t="s">
        <v>89</v>
      </c>
      <c r="U861" s="525"/>
      <c r="V861" s="525"/>
      <c r="W861" s="525"/>
      <c r="X861" s="525"/>
      <c r="Y861" s="526"/>
      <c r="Z861" s="162"/>
      <c r="AA861" s="150"/>
      <c r="AB861" s="150"/>
      <c r="AC861" s="150"/>
    </row>
    <row r="862" spans="1:29" ht="27.75" customHeight="1" x14ac:dyDescent="0.25">
      <c r="A862" s="163"/>
      <c r="B862" s="149"/>
      <c r="C862" s="535" t="s">
        <v>90</v>
      </c>
      <c r="D862" s="531"/>
      <c r="E862" s="531"/>
      <c r="F862" s="531"/>
      <c r="G862" s="164" t="str">
        <f>$J$1</f>
        <v>September</v>
      </c>
      <c r="H862" s="536">
        <f>$K$1</f>
        <v>2024</v>
      </c>
      <c r="I862" s="531"/>
      <c r="J862" s="149"/>
      <c r="K862" s="165"/>
      <c r="L862" s="166"/>
      <c r="M862" s="167"/>
      <c r="N862" s="168"/>
      <c r="O862" s="169" t="s">
        <v>91</v>
      </c>
      <c r="P862" s="169" t="s">
        <v>92</v>
      </c>
      <c r="Q862" s="169" t="s">
        <v>93</v>
      </c>
      <c r="R862" s="169" t="s">
        <v>94</v>
      </c>
      <c r="S862" s="170"/>
      <c r="T862" s="169" t="s">
        <v>91</v>
      </c>
      <c r="U862" s="169" t="s">
        <v>95</v>
      </c>
      <c r="V862" s="169" t="s">
        <v>9</v>
      </c>
      <c r="W862" s="169" t="s">
        <v>10</v>
      </c>
      <c r="X862" s="169" t="s">
        <v>11</v>
      </c>
      <c r="Y862" s="169" t="s">
        <v>96</v>
      </c>
      <c r="Z862" s="171"/>
      <c r="AA862" s="150"/>
      <c r="AB862" s="150"/>
      <c r="AC862" s="150"/>
    </row>
    <row r="863" spans="1:29" ht="18.75" customHeight="1" x14ac:dyDescent="0.25">
      <c r="A863" s="163"/>
      <c r="B863" s="149"/>
      <c r="C863" s="149"/>
      <c r="D863" s="172"/>
      <c r="E863" s="172"/>
      <c r="F863" s="172"/>
      <c r="G863" s="172"/>
      <c r="H863" s="172"/>
      <c r="I863" s="149"/>
      <c r="J863" s="173" t="s">
        <v>97</v>
      </c>
      <c r="K863" s="151">
        <v>35000</v>
      </c>
      <c r="L863" s="174"/>
      <c r="M863" s="158"/>
      <c r="N863" s="175"/>
      <c r="O863" s="176" t="s">
        <v>98</v>
      </c>
      <c r="P863" s="176"/>
      <c r="Q863" s="176"/>
      <c r="R863" s="176"/>
      <c r="S863" s="177"/>
      <c r="T863" s="176" t="s">
        <v>98</v>
      </c>
      <c r="U863" s="178"/>
      <c r="V863" s="178"/>
      <c r="W863" s="178">
        <f>V863+U863</f>
        <v>0</v>
      </c>
      <c r="X863" s="178"/>
      <c r="Y863" s="178">
        <f>W863-X863</f>
        <v>0</v>
      </c>
      <c r="Z863" s="171"/>
      <c r="AA863" s="150"/>
      <c r="AB863" s="150"/>
      <c r="AC863" s="150"/>
    </row>
    <row r="864" spans="1:29" ht="18.75" customHeight="1" x14ac:dyDescent="0.25">
      <c r="A864" s="288"/>
      <c r="B864" s="289" t="s">
        <v>99</v>
      </c>
      <c r="C864" s="290" t="s">
        <v>298</v>
      </c>
      <c r="D864" s="289"/>
      <c r="E864" s="289"/>
      <c r="F864" s="289"/>
      <c r="G864" s="289"/>
      <c r="H864" s="291"/>
      <c r="I864" s="292"/>
      <c r="J864" s="289"/>
      <c r="K864" s="289"/>
      <c r="L864" s="293"/>
      <c r="M864" s="159"/>
      <c r="N864" s="181"/>
      <c r="O864" s="176" t="s">
        <v>100</v>
      </c>
      <c r="P864" s="176"/>
      <c r="Q864" s="176"/>
      <c r="R864" s="176" t="str">
        <f t="shared" ref="R864:R865" si="242">IF(Q864="","",R863-Q864)</f>
        <v/>
      </c>
      <c r="S864" s="156"/>
      <c r="T864" s="176" t="s">
        <v>100</v>
      </c>
      <c r="U864" s="182">
        <f>Y863</f>
        <v>0</v>
      </c>
      <c r="V864" s="178"/>
      <c r="W864" s="182">
        <f t="shared" ref="W864:W874" si="243">IF(U864="","",U864+V864)</f>
        <v>0</v>
      </c>
      <c r="X864" s="178"/>
      <c r="Y864" s="182">
        <f t="shared" ref="Y864:Y874" si="244">IF(W864="","",W864-X864)</f>
        <v>0</v>
      </c>
      <c r="Z864" s="183"/>
      <c r="AA864" s="150"/>
      <c r="AB864" s="150"/>
      <c r="AC864" s="150"/>
    </row>
    <row r="865" spans="1:29" ht="18.75" customHeight="1" x14ac:dyDescent="0.25">
      <c r="A865" s="163"/>
      <c r="B865" s="184" t="s">
        <v>101</v>
      </c>
      <c r="C865" s="210">
        <v>45474</v>
      </c>
      <c r="D865" s="149"/>
      <c r="E865" s="149"/>
      <c r="F865" s="529" t="s">
        <v>89</v>
      </c>
      <c r="G865" s="503"/>
      <c r="H865" s="149"/>
      <c r="I865" s="529" t="s">
        <v>102</v>
      </c>
      <c r="J865" s="502"/>
      <c r="K865" s="503"/>
      <c r="L865" s="186"/>
      <c r="M865" s="158"/>
      <c r="N865" s="175"/>
      <c r="O865" s="176" t="s">
        <v>103</v>
      </c>
      <c r="P865" s="176"/>
      <c r="Q865" s="176"/>
      <c r="R865" s="176" t="str">
        <f t="shared" si="242"/>
        <v/>
      </c>
      <c r="S865" s="156"/>
      <c r="T865" s="176" t="s">
        <v>103</v>
      </c>
      <c r="U865" s="182">
        <f t="shared" ref="U865:U866" si="245">IF($J$1="April",Y864,Y864)</f>
        <v>0</v>
      </c>
      <c r="V865" s="178"/>
      <c r="W865" s="182">
        <f t="shared" si="243"/>
        <v>0</v>
      </c>
      <c r="X865" s="178"/>
      <c r="Y865" s="182">
        <f t="shared" si="244"/>
        <v>0</v>
      </c>
      <c r="Z865" s="183"/>
      <c r="AA865" s="150"/>
      <c r="AB865" s="150"/>
      <c r="AC865" s="150"/>
    </row>
    <row r="866" spans="1:29" ht="18.75" customHeight="1" x14ac:dyDescent="0.25">
      <c r="A866" s="163"/>
      <c r="B866" s="149"/>
      <c r="C866" s="149"/>
      <c r="D866" s="149"/>
      <c r="E866" s="149"/>
      <c r="F866" s="149"/>
      <c r="G866" s="149"/>
      <c r="H866" s="187"/>
      <c r="I866" s="149"/>
      <c r="J866" s="149"/>
      <c r="K866" s="149"/>
      <c r="L866" s="188"/>
      <c r="M866" s="158"/>
      <c r="N866" s="175"/>
      <c r="O866" s="176" t="s">
        <v>104</v>
      </c>
      <c r="P866" s="176"/>
      <c r="Q866" s="176"/>
      <c r="R866" s="176">
        <v>0</v>
      </c>
      <c r="S866" s="156"/>
      <c r="T866" s="176" t="s">
        <v>104</v>
      </c>
      <c r="U866" s="182">
        <f t="shared" si="245"/>
        <v>0</v>
      </c>
      <c r="V866" s="178"/>
      <c r="W866" s="182">
        <f t="shared" si="243"/>
        <v>0</v>
      </c>
      <c r="X866" s="178"/>
      <c r="Y866" s="182">
        <f t="shared" si="244"/>
        <v>0</v>
      </c>
      <c r="Z866" s="183"/>
      <c r="AA866" s="150"/>
      <c r="AB866" s="150"/>
      <c r="AC866" s="150"/>
    </row>
    <row r="867" spans="1:29" ht="18.75" customHeight="1" x14ac:dyDescent="0.25">
      <c r="A867" s="163"/>
      <c r="B867" s="527" t="s">
        <v>88</v>
      </c>
      <c r="C867" s="503"/>
      <c r="D867" s="149"/>
      <c r="E867" s="149"/>
      <c r="F867" s="189" t="s">
        <v>105</v>
      </c>
      <c r="G867" s="190">
        <f>IF($J$1="January",U863,IF($J$1="February",U864,IF($J$1="March",U865,IF($J$1="April",U866,IF($J$1="May",U867,IF($J$1="June",U868,IF($J$1="July",U869,IF($J$1="August",U870,IF($J$1="August",U870,IF($J$1="September",U871,IF($J$1="October",U872,IF($J$1="November",U873,IF($J$1="December",U874)))))))))))))</f>
        <v>0</v>
      </c>
      <c r="H867" s="187"/>
      <c r="I867" s="191">
        <f>IF(C871&gt;0,$K$2,C869)</f>
        <v>29</v>
      </c>
      <c r="J867" s="192" t="s">
        <v>106</v>
      </c>
      <c r="K867" s="193">
        <f>K863/$K$2*I867</f>
        <v>33833.333333333336</v>
      </c>
      <c r="L867" s="194"/>
      <c r="M867" s="158"/>
      <c r="N867" s="175"/>
      <c r="O867" s="176" t="s">
        <v>107</v>
      </c>
      <c r="P867" s="176"/>
      <c r="Q867" s="176"/>
      <c r="R867" s="176">
        <v>0</v>
      </c>
      <c r="S867" s="156"/>
      <c r="T867" s="176" t="s">
        <v>107</v>
      </c>
      <c r="U867" s="182">
        <f t="shared" ref="U867:U869" si="246">IF($J$1="May",Y866,Y866)</f>
        <v>0</v>
      </c>
      <c r="V867" s="178"/>
      <c r="W867" s="182">
        <f t="shared" si="243"/>
        <v>0</v>
      </c>
      <c r="X867" s="178"/>
      <c r="Y867" s="182">
        <f t="shared" si="244"/>
        <v>0</v>
      </c>
      <c r="Z867" s="183"/>
      <c r="AA867" s="150"/>
      <c r="AB867" s="150"/>
      <c r="AC867" s="150"/>
    </row>
    <row r="868" spans="1:29" ht="18.75" customHeight="1" x14ac:dyDescent="0.25">
      <c r="A868" s="163"/>
      <c r="B868" s="195"/>
      <c r="C868" s="195"/>
      <c r="D868" s="149"/>
      <c r="E868" s="149"/>
      <c r="F868" s="189" t="s">
        <v>9</v>
      </c>
      <c r="G868" s="190">
        <f>IF($J$1="January",V863,IF($J$1="February",V864,IF($J$1="March",V865,IF($J$1="April",V866,IF($J$1="May",V867,IF($J$1="June",V868,IF($J$1="July",V869,IF($J$1="August",V870,IF($J$1="August",V870,IF($J$1="September",V871,IF($J$1="October",V872,IF($J$1="November",V873,IF($J$1="December",V874)))))))))))))</f>
        <v>10000</v>
      </c>
      <c r="H868" s="187"/>
      <c r="I868" s="211">
        <v>2</v>
      </c>
      <c r="J868" s="192" t="s">
        <v>108</v>
      </c>
      <c r="K868" s="190">
        <f>K863/$K$2/8*I868</f>
        <v>291.66666666666669</v>
      </c>
      <c r="L868" s="196"/>
      <c r="M868" s="158"/>
      <c r="N868" s="175"/>
      <c r="O868" s="176" t="s">
        <v>84</v>
      </c>
      <c r="P868" s="176"/>
      <c r="Q868" s="176"/>
      <c r="R868" s="176">
        <v>0</v>
      </c>
      <c r="S868" s="156"/>
      <c r="T868" s="176" t="s">
        <v>84</v>
      </c>
      <c r="U868" s="182">
        <f t="shared" si="246"/>
        <v>0</v>
      </c>
      <c r="V868" s="178"/>
      <c r="W868" s="182">
        <f t="shared" si="243"/>
        <v>0</v>
      </c>
      <c r="X868" s="178"/>
      <c r="Y868" s="182">
        <f t="shared" si="244"/>
        <v>0</v>
      </c>
      <c r="Z868" s="183"/>
      <c r="AA868" s="150"/>
      <c r="AB868" s="150"/>
      <c r="AC868" s="150"/>
    </row>
    <row r="869" spans="1:29" ht="18.75" customHeight="1" x14ac:dyDescent="0.25">
      <c r="A869" s="163"/>
      <c r="B869" s="189" t="s">
        <v>92</v>
      </c>
      <c r="C869" s="195">
        <f>IF($J$1="January",P863,IF($J$1="February",P864,IF($J$1="March",P865,IF($J$1="April",P866,IF($J$1="May",P867,IF($J$1="June",P868,IF($J$1="July",P869,IF($J$1="August",P870,IF($J$1="August",P870,IF($J$1="September",P871,IF($J$1="October",P872,IF($J$1="November",P873,IF($J$1="December",P874)))))))))))))</f>
        <v>29</v>
      </c>
      <c r="D869" s="149"/>
      <c r="E869" s="149"/>
      <c r="F869" s="189" t="s">
        <v>109</v>
      </c>
      <c r="G869" s="190">
        <f>IF($J$1="January",W863,IF($J$1="February",W864,IF($J$1="March",W865,IF($J$1="April",W866,IF($J$1="May",W867,IF($J$1="June",W868,IF($J$1="July",W869,IF($J$1="August",W870,IF($J$1="August",W870,IF($J$1="September",W871,IF($J$1="October",W872,IF($J$1="November",W873,IF($J$1="December",W874)))))))))))))</f>
        <v>10000</v>
      </c>
      <c r="H869" s="187"/>
      <c r="I869" s="528" t="s">
        <v>110</v>
      </c>
      <c r="J869" s="503"/>
      <c r="K869" s="190">
        <f>K867+K868</f>
        <v>34125</v>
      </c>
      <c r="L869" s="196"/>
      <c r="M869" s="158"/>
      <c r="N869" s="175"/>
      <c r="O869" s="176" t="s">
        <v>111</v>
      </c>
      <c r="P869" s="176">
        <v>30</v>
      </c>
      <c r="Q869" s="176">
        <v>1</v>
      </c>
      <c r="R869" s="176">
        <v>0</v>
      </c>
      <c r="S869" s="156"/>
      <c r="T869" s="176" t="s">
        <v>111</v>
      </c>
      <c r="U869" s="182">
        <f t="shared" si="246"/>
        <v>0</v>
      </c>
      <c r="V869" s="178"/>
      <c r="W869" s="182">
        <f t="shared" si="243"/>
        <v>0</v>
      </c>
      <c r="X869" s="178"/>
      <c r="Y869" s="182">
        <f t="shared" si="244"/>
        <v>0</v>
      </c>
      <c r="Z869" s="183"/>
      <c r="AA869" s="150"/>
      <c r="AB869" s="150"/>
      <c r="AC869" s="150"/>
    </row>
    <row r="870" spans="1:29" ht="18.75" customHeight="1" x14ac:dyDescent="0.25">
      <c r="A870" s="163"/>
      <c r="B870" s="189" t="s">
        <v>93</v>
      </c>
      <c r="C870" s="195">
        <f>IF($J$1="January",Q863,IF($J$1="February",Q864,IF($J$1="March",Q865,IF($J$1="April",Q866,IF($J$1="May",Q867,IF($J$1="June",Q868,IF($J$1="July",Q869,IF($J$1="August",Q870,IF($J$1="August",Q870,IF($J$1="September",Q871,IF($J$1="October",Q872,IF($J$1="November",Q873,IF($J$1="December",Q874)))))))))))))</f>
        <v>1</v>
      </c>
      <c r="D870" s="149"/>
      <c r="E870" s="149"/>
      <c r="F870" s="189" t="s">
        <v>11</v>
      </c>
      <c r="G870" s="190">
        <f>IF($J$1="January",X863,IF($J$1="February",X864,IF($J$1="March",X865,IF($J$1="April",X866,IF($J$1="May",X867,IF($J$1="June",X868,IF($J$1="July",X869,IF($J$1="August",X870,IF($J$1="August",X870,IF($J$1="September",X871,IF($J$1="October",X872,IF($J$1="November",X873,IF($J$1="December",X874)))))))))))))</f>
        <v>10000</v>
      </c>
      <c r="H870" s="187"/>
      <c r="I870" s="528" t="s">
        <v>112</v>
      </c>
      <c r="J870" s="503"/>
      <c r="K870" s="190">
        <f>G870</f>
        <v>10000</v>
      </c>
      <c r="L870" s="196"/>
      <c r="M870" s="158"/>
      <c r="N870" s="175"/>
      <c r="O870" s="176" t="s">
        <v>113</v>
      </c>
      <c r="P870" s="176">
        <v>29</v>
      </c>
      <c r="Q870" s="176">
        <v>2</v>
      </c>
      <c r="R870" s="176">
        <v>0</v>
      </c>
      <c r="S870" s="156"/>
      <c r="T870" s="176" t="s">
        <v>113</v>
      </c>
      <c r="U870" s="182">
        <f t="shared" ref="U870:U871" si="247">IF($J$1="September",Y869,"")</f>
        <v>0</v>
      </c>
      <c r="V870" s="178"/>
      <c r="W870" s="182">
        <f t="shared" si="243"/>
        <v>0</v>
      </c>
      <c r="X870" s="178"/>
      <c r="Y870" s="182">
        <f t="shared" si="244"/>
        <v>0</v>
      </c>
      <c r="Z870" s="183"/>
      <c r="AA870" s="150"/>
      <c r="AB870" s="150"/>
      <c r="AC870" s="150"/>
    </row>
    <row r="871" spans="1:29" ht="18.75" customHeight="1" x14ac:dyDescent="0.25">
      <c r="A871" s="163"/>
      <c r="B871" s="212" t="s">
        <v>114</v>
      </c>
      <c r="C871" s="195">
        <f>IF($J$1="January",R863,IF($J$1="February",R864,IF($J$1="March",R865,IF($J$1="April",R866,IF($J$1="May",R867,IF($J$1="June",R868,IF($J$1="July",R869,IF($J$1="August",R870,IF($J$1="August",R870,IF($J$1="September",R871,IF($J$1="October",R872,IF($J$1="November",R873,IF($J$1="December",R874)))))))))))))</f>
        <v>0</v>
      </c>
      <c r="D871" s="149"/>
      <c r="E871" s="149"/>
      <c r="F871" s="149"/>
      <c r="G871" s="190">
        <f>IF($J$1="January",Y863,IF($J$1="February",Y864,IF($J$1="March",Y865,IF($J$1="April",Y866,IF($J$1="May",Y867,IF($J$1="June",Y868,IF($J$1="July",Y869,IF($J$1="August",Y870,IF($J$1="August",Y870,IF($J$1="September",Y871,IF($J$1="October",Y872,IF($J$1="November",Y873,IF($J$1="December",Y874)))))))))))))</f>
        <v>0</v>
      </c>
      <c r="H871" s="149"/>
      <c r="I871" s="529" t="s">
        <v>13</v>
      </c>
      <c r="J871" s="503"/>
      <c r="K871" s="37">
        <f>K869-K870</f>
        <v>24125</v>
      </c>
      <c r="L871" s="180"/>
      <c r="M871" s="158"/>
      <c r="N871" s="175"/>
      <c r="O871" s="176" t="s">
        <v>116</v>
      </c>
      <c r="P871" s="176">
        <v>29</v>
      </c>
      <c r="Q871" s="176">
        <v>1</v>
      </c>
      <c r="R871" s="176">
        <v>0</v>
      </c>
      <c r="S871" s="156"/>
      <c r="T871" s="176" t="s">
        <v>116</v>
      </c>
      <c r="U871" s="182">
        <f t="shared" si="247"/>
        <v>0</v>
      </c>
      <c r="V871" s="178">
        <v>10000</v>
      </c>
      <c r="W871" s="182">
        <f t="shared" si="243"/>
        <v>10000</v>
      </c>
      <c r="X871" s="178">
        <v>10000</v>
      </c>
      <c r="Y871" s="182">
        <f t="shared" si="244"/>
        <v>0</v>
      </c>
      <c r="Z871" s="183"/>
      <c r="AA871" s="150"/>
      <c r="AB871" s="150"/>
      <c r="AC871" s="150"/>
    </row>
    <row r="872" spans="1:29" ht="18.75" customHeight="1" x14ac:dyDescent="0.25">
      <c r="A872" s="163"/>
      <c r="B872" s="149"/>
      <c r="C872" s="149"/>
      <c r="D872" s="149"/>
      <c r="E872" s="149"/>
      <c r="F872" s="149"/>
      <c r="G872" s="149"/>
      <c r="H872" s="149"/>
      <c r="I872" s="530"/>
      <c r="J872" s="531"/>
      <c r="K872" s="151"/>
      <c r="L872" s="186"/>
      <c r="M872" s="158"/>
      <c r="N872" s="175"/>
      <c r="O872" s="176" t="s">
        <v>117</v>
      </c>
      <c r="P872" s="176"/>
      <c r="Q872" s="176"/>
      <c r="R872" s="176" t="str">
        <f t="shared" ref="R872:R874" si="248">IF(Q872="","",R871-Q872)</f>
        <v/>
      </c>
      <c r="S872" s="156"/>
      <c r="T872" s="176" t="s">
        <v>117</v>
      </c>
      <c r="U872" s="182" t="str">
        <f>IF($J$1="October",Y871,"")</f>
        <v/>
      </c>
      <c r="V872" s="178"/>
      <c r="W872" s="182" t="str">
        <f t="shared" si="243"/>
        <v/>
      </c>
      <c r="X872" s="178"/>
      <c r="Y872" s="182" t="str">
        <f t="shared" si="244"/>
        <v/>
      </c>
      <c r="Z872" s="183"/>
      <c r="AA872" s="150"/>
      <c r="AB872" s="150"/>
      <c r="AC872" s="150"/>
    </row>
    <row r="873" spans="1:29" ht="18.75" customHeight="1" x14ac:dyDescent="0.3">
      <c r="A873" s="163"/>
      <c r="B873" s="147"/>
      <c r="C873" s="147"/>
      <c r="D873" s="147"/>
      <c r="E873" s="147"/>
      <c r="F873" s="147"/>
      <c r="G873" s="147"/>
      <c r="H873" s="147"/>
      <c r="I873" s="530"/>
      <c r="J873" s="531"/>
      <c r="K873" s="151"/>
      <c r="L873" s="186"/>
      <c r="M873" s="158"/>
      <c r="N873" s="175"/>
      <c r="O873" s="176" t="s">
        <v>118</v>
      </c>
      <c r="P873" s="176"/>
      <c r="Q873" s="176"/>
      <c r="R873" s="176" t="str">
        <f t="shared" si="248"/>
        <v/>
      </c>
      <c r="S873" s="156"/>
      <c r="T873" s="176" t="s">
        <v>118</v>
      </c>
      <c r="U873" s="182" t="str">
        <f>IF($J$1="November",Y872,"")</f>
        <v/>
      </c>
      <c r="V873" s="178"/>
      <c r="W873" s="182" t="str">
        <f t="shared" si="243"/>
        <v/>
      </c>
      <c r="X873" s="178"/>
      <c r="Y873" s="182" t="str">
        <f t="shared" si="244"/>
        <v/>
      </c>
      <c r="Z873" s="183"/>
      <c r="AA873" s="150"/>
      <c r="AB873" s="150"/>
      <c r="AC873" s="150"/>
    </row>
    <row r="874" spans="1:29" ht="18.75" customHeight="1" x14ac:dyDescent="0.3">
      <c r="A874" s="163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86"/>
      <c r="M874" s="158"/>
      <c r="N874" s="175"/>
      <c r="O874" s="176" t="s">
        <v>119</v>
      </c>
      <c r="P874" s="176"/>
      <c r="Q874" s="176"/>
      <c r="R874" s="176" t="str">
        <f t="shared" si="248"/>
        <v/>
      </c>
      <c r="S874" s="156"/>
      <c r="T874" s="176" t="s">
        <v>119</v>
      </c>
      <c r="U874" s="182" t="str">
        <f>IF($J$1="Dec",Y873,"")</f>
        <v/>
      </c>
      <c r="V874" s="178"/>
      <c r="W874" s="182" t="str">
        <f t="shared" si="243"/>
        <v/>
      </c>
      <c r="X874" s="178"/>
      <c r="Y874" s="182" t="str">
        <f t="shared" si="244"/>
        <v/>
      </c>
      <c r="Z874" s="183"/>
      <c r="AA874" s="150"/>
      <c r="AB874" s="150"/>
      <c r="AC874" s="150"/>
    </row>
    <row r="875" spans="1:29" ht="18.75" customHeight="1" thickBot="1" x14ac:dyDescent="0.3">
      <c r="A875" s="197"/>
      <c r="B875" s="213"/>
      <c r="C875" s="213"/>
      <c r="D875" s="213"/>
      <c r="E875" s="213"/>
      <c r="F875" s="213"/>
      <c r="G875" s="213"/>
      <c r="H875" s="213"/>
      <c r="I875" s="213"/>
      <c r="J875" s="213"/>
      <c r="K875" s="213"/>
      <c r="L875" s="199"/>
      <c r="M875" s="158"/>
      <c r="N875" s="214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8"/>
      <c r="AA875" s="150"/>
      <c r="AB875" s="150"/>
      <c r="AC875" s="150"/>
    </row>
    <row r="876" spans="1:29" ht="27.75" customHeight="1" thickBot="1" x14ac:dyDescent="0.35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  <c r="AA876" s="150"/>
      <c r="AB876" s="150"/>
      <c r="AC876" s="150"/>
    </row>
    <row r="877" spans="1:29" ht="27.75" customHeight="1" x14ac:dyDescent="0.25">
      <c r="A877" s="540" t="s">
        <v>87</v>
      </c>
      <c r="B877" s="538"/>
      <c r="C877" s="538"/>
      <c r="D877" s="538"/>
      <c r="E877" s="538"/>
      <c r="F877" s="538"/>
      <c r="G877" s="538"/>
      <c r="H877" s="538"/>
      <c r="I877" s="538"/>
      <c r="J877" s="538"/>
      <c r="K877" s="538"/>
      <c r="L877" s="539"/>
      <c r="M877" s="159"/>
      <c r="N877" s="160"/>
      <c r="O877" s="524" t="s">
        <v>88</v>
      </c>
      <c r="P877" s="525"/>
      <c r="Q877" s="525"/>
      <c r="R877" s="526"/>
      <c r="S877" s="161"/>
      <c r="T877" s="524" t="s">
        <v>89</v>
      </c>
      <c r="U877" s="525"/>
      <c r="V877" s="525"/>
      <c r="W877" s="525"/>
      <c r="X877" s="525"/>
      <c r="Y877" s="526"/>
      <c r="Z877" s="162"/>
      <c r="AA877" s="150"/>
      <c r="AB877" s="150"/>
      <c r="AC877" s="150"/>
    </row>
    <row r="878" spans="1:29" ht="27.75" customHeight="1" x14ac:dyDescent="0.25">
      <c r="A878" s="163"/>
      <c r="B878" s="149"/>
      <c r="C878" s="535" t="s">
        <v>90</v>
      </c>
      <c r="D878" s="531"/>
      <c r="E878" s="531"/>
      <c r="F878" s="531"/>
      <c r="G878" s="164" t="str">
        <f>$J$1</f>
        <v>September</v>
      </c>
      <c r="H878" s="536">
        <f>$K$1</f>
        <v>2024</v>
      </c>
      <c r="I878" s="531"/>
      <c r="J878" s="149"/>
      <c r="K878" s="165"/>
      <c r="L878" s="166"/>
      <c r="M878" s="167"/>
      <c r="N878" s="168"/>
      <c r="O878" s="169" t="s">
        <v>91</v>
      </c>
      <c r="P878" s="169" t="s">
        <v>92</v>
      </c>
      <c r="Q878" s="169" t="s">
        <v>93</v>
      </c>
      <c r="R878" s="169" t="s">
        <v>94</v>
      </c>
      <c r="S878" s="170"/>
      <c r="T878" s="169" t="s">
        <v>91</v>
      </c>
      <c r="U878" s="169" t="s">
        <v>95</v>
      </c>
      <c r="V878" s="169" t="s">
        <v>9</v>
      </c>
      <c r="W878" s="169" t="s">
        <v>10</v>
      </c>
      <c r="X878" s="169" t="s">
        <v>11</v>
      </c>
      <c r="Y878" s="169" t="s">
        <v>96</v>
      </c>
      <c r="Z878" s="171"/>
      <c r="AA878" s="150"/>
      <c r="AB878" s="150"/>
      <c r="AC878" s="150"/>
    </row>
    <row r="879" spans="1:29" ht="18.75" customHeight="1" x14ac:dyDescent="0.25">
      <c r="A879" s="163"/>
      <c r="B879" s="149"/>
      <c r="C879" s="149"/>
      <c r="D879" s="172"/>
      <c r="E879" s="172"/>
      <c r="F879" s="172"/>
      <c r="G879" s="172"/>
      <c r="H879" s="172"/>
      <c r="I879" s="149"/>
      <c r="J879" s="173" t="s">
        <v>97</v>
      </c>
      <c r="K879" s="151">
        <v>50000</v>
      </c>
      <c r="L879" s="174"/>
      <c r="M879" s="158"/>
      <c r="N879" s="175"/>
      <c r="O879" s="176" t="s">
        <v>98</v>
      </c>
      <c r="P879" s="176"/>
      <c r="Q879" s="176"/>
      <c r="R879" s="176"/>
      <c r="S879" s="177"/>
      <c r="T879" s="176" t="s">
        <v>98</v>
      </c>
      <c r="U879" s="178"/>
      <c r="V879" s="178"/>
      <c r="W879" s="178">
        <f>V879+U879</f>
        <v>0</v>
      </c>
      <c r="X879" s="178"/>
      <c r="Y879" s="178">
        <f>W879-X879</f>
        <v>0</v>
      </c>
      <c r="Z879" s="171"/>
      <c r="AA879" s="150"/>
      <c r="AB879" s="150"/>
      <c r="AC879" s="150"/>
    </row>
    <row r="880" spans="1:29" ht="18.75" customHeight="1" x14ac:dyDescent="0.25">
      <c r="A880" s="163"/>
      <c r="B880" s="149" t="s">
        <v>99</v>
      </c>
      <c r="C880" s="148" t="s">
        <v>299</v>
      </c>
      <c r="D880" s="149"/>
      <c r="E880" s="149"/>
      <c r="F880" s="149"/>
      <c r="G880" s="149"/>
      <c r="H880" s="179"/>
      <c r="I880" s="172"/>
      <c r="J880" s="149"/>
      <c r="K880" s="149"/>
      <c r="L880" s="180"/>
      <c r="M880" s="159"/>
      <c r="N880" s="181"/>
      <c r="O880" s="176" t="s">
        <v>100</v>
      </c>
      <c r="P880" s="176"/>
      <c r="Q880" s="176"/>
      <c r="R880" s="176" t="str">
        <f t="shared" ref="R880:R881" si="249">IF(Q880="","",R879-Q880)</f>
        <v/>
      </c>
      <c r="S880" s="156"/>
      <c r="T880" s="176" t="s">
        <v>100</v>
      </c>
      <c r="U880" s="182">
        <f>Y879</f>
        <v>0</v>
      </c>
      <c r="V880" s="178"/>
      <c r="W880" s="182">
        <f t="shared" ref="W880:W890" si="250">IF(U880="","",U880+V880)</f>
        <v>0</v>
      </c>
      <c r="X880" s="178"/>
      <c r="Y880" s="182">
        <f t="shared" ref="Y880:Y890" si="251">IF(W880="","",W880-X880)</f>
        <v>0</v>
      </c>
      <c r="Z880" s="183"/>
      <c r="AA880" s="150"/>
      <c r="AB880" s="150"/>
      <c r="AC880" s="150"/>
    </row>
    <row r="881" spans="1:29" ht="18.75" customHeight="1" x14ac:dyDescent="0.25">
      <c r="A881" s="163"/>
      <c r="B881" s="184" t="s">
        <v>101</v>
      </c>
      <c r="C881" s="210">
        <v>45474</v>
      </c>
      <c r="D881" s="149"/>
      <c r="E881" s="149"/>
      <c r="F881" s="529" t="s">
        <v>89</v>
      </c>
      <c r="G881" s="503"/>
      <c r="H881" s="149"/>
      <c r="I881" s="529" t="s">
        <v>102</v>
      </c>
      <c r="J881" s="502"/>
      <c r="K881" s="503"/>
      <c r="L881" s="186"/>
      <c r="M881" s="158"/>
      <c r="N881" s="175"/>
      <c r="O881" s="176" t="s">
        <v>103</v>
      </c>
      <c r="P881" s="176"/>
      <c r="Q881" s="176"/>
      <c r="R881" s="176" t="str">
        <f t="shared" si="249"/>
        <v/>
      </c>
      <c r="S881" s="156"/>
      <c r="T881" s="176" t="s">
        <v>103</v>
      </c>
      <c r="U881" s="182">
        <f t="shared" ref="U881:U882" si="252">IF($J$1="April",Y880,Y880)</f>
        <v>0</v>
      </c>
      <c r="V881" s="178"/>
      <c r="W881" s="182">
        <f t="shared" si="250"/>
        <v>0</v>
      </c>
      <c r="X881" s="178"/>
      <c r="Y881" s="182">
        <f t="shared" si="251"/>
        <v>0</v>
      </c>
      <c r="Z881" s="183"/>
      <c r="AA881" s="150"/>
      <c r="AB881" s="150"/>
      <c r="AC881" s="150"/>
    </row>
    <row r="882" spans="1:29" ht="18.75" customHeight="1" x14ac:dyDescent="0.25">
      <c r="A882" s="163"/>
      <c r="B882" s="149"/>
      <c r="C882" s="149"/>
      <c r="D882" s="149"/>
      <c r="E882" s="149"/>
      <c r="F882" s="149"/>
      <c r="G882" s="149"/>
      <c r="H882" s="187"/>
      <c r="I882" s="149"/>
      <c r="J882" s="149"/>
      <c r="K882" s="149"/>
      <c r="L882" s="188"/>
      <c r="M882" s="158"/>
      <c r="N882" s="175"/>
      <c r="O882" s="176" t="s">
        <v>104</v>
      </c>
      <c r="P882" s="176"/>
      <c r="Q882" s="176"/>
      <c r="R882" s="176">
        <v>0</v>
      </c>
      <c r="S882" s="156"/>
      <c r="T882" s="176" t="s">
        <v>104</v>
      </c>
      <c r="U882" s="182">
        <f t="shared" si="252"/>
        <v>0</v>
      </c>
      <c r="V882" s="178"/>
      <c r="W882" s="182">
        <f t="shared" si="250"/>
        <v>0</v>
      </c>
      <c r="X882" s="178"/>
      <c r="Y882" s="182">
        <f t="shared" si="251"/>
        <v>0</v>
      </c>
      <c r="Z882" s="183"/>
      <c r="AA882" s="150"/>
      <c r="AB882" s="150"/>
      <c r="AC882" s="150"/>
    </row>
    <row r="883" spans="1:29" ht="18.75" customHeight="1" x14ac:dyDescent="0.25">
      <c r="A883" s="163"/>
      <c r="B883" s="527" t="s">
        <v>88</v>
      </c>
      <c r="C883" s="503"/>
      <c r="D883" s="149"/>
      <c r="E883" s="149"/>
      <c r="F883" s="189" t="s">
        <v>105</v>
      </c>
      <c r="G883" s="190">
        <f>IF($J$1="January",U879,IF($J$1="February",U880,IF($J$1="March",U881,IF($J$1="April",U882,IF($J$1="May",U883,IF($J$1="June",U884,IF($J$1="July",U885,IF($J$1="August",U886,IF($J$1="August",U886,IF($J$1="September",U887,IF($J$1="October",U888,IF($J$1="November",U889,IF($J$1="December",U890)))))))))))))</f>
        <v>0</v>
      </c>
      <c r="H883" s="187"/>
      <c r="I883" s="191">
        <f>IF(C887&gt;0,$K$2,C885)</f>
        <v>30</v>
      </c>
      <c r="J883" s="192" t="s">
        <v>106</v>
      </c>
      <c r="K883" s="193">
        <f>K879/$K$2*I883</f>
        <v>50000</v>
      </c>
      <c r="L883" s="194"/>
      <c r="M883" s="158"/>
      <c r="N883" s="175"/>
      <c r="O883" s="176" t="s">
        <v>107</v>
      </c>
      <c r="P883" s="176"/>
      <c r="Q883" s="176"/>
      <c r="R883" s="176">
        <v>0</v>
      </c>
      <c r="S883" s="156"/>
      <c r="T883" s="176" t="s">
        <v>107</v>
      </c>
      <c r="U883" s="182">
        <f t="shared" ref="U883:U885" si="253">IF($J$1="May",Y882,Y882)</f>
        <v>0</v>
      </c>
      <c r="V883" s="178"/>
      <c r="W883" s="182">
        <f t="shared" si="250"/>
        <v>0</v>
      </c>
      <c r="X883" s="178"/>
      <c r="Y883" s="182">
        <f t="shared" si="251"/>
        <v>0</v>
      </c>
      <c r="Z883" s="183"/>
      <c r="AA883" s="150"/>
      <c r="AB883" s="150"/>
      <c r="AC883" s="150"/>
    </row>
    <row r="884" spans="1:29" ht="18.75" customHeight="1" x14ac:dyDescent="0.25">
      <c r="A884" s="163"/>
      <c r="B884" s="195"/>
      <c r="C884" s="195"/>
      <c r="D884" s="149"/>
      <c r="E884" s="149"/>
      <c r="F884" s="189" t="s">
        <v>9</v>
      </c>
      <c r="G884" s="190">
        <f>IF($J$1="January",V879,IF($J$1="February",V880,IF($J$1="March",V881,IF($J$1="April",V882,IF($J$1="May",V883,IF($J$1="June",V884,IF($J$1="July",V885,IF($J$1="August",V886,IF($J$1="August",V886,IF($J$1="September",V887,IF($J$1="October",V888,IF($J$1="November",V889,IF($J$1="December",V890)))))))))))))</f>
        <v>0</v>
      </c>
      <c r="H884" s="187"/>
      <c r="I884" s="211"/>
      <c r="J884" s="192" t="s">
        <v>108</v>
      </c>
      <c r="K884" s="190">
        <f>K879/$K$2/8*I884</f>
        <v>0</v>
      </c>
      <c r="L884" s="196"/>
      <c r="M884" s="158"/>
      <c r="N884" s="175"/>
      <c r="O884" s="176" t="s">
        <v>84</v>
      </c>
      <c r="P884" s="176"/>
      <c r="Q884" s="176"/>
      <c r="R884" s="176">
        <v>0</v>
      </c>
      <c r="S884" s="156"/>
      <c r="T884" s="176" t="s">
        <v>84</v>
      </c>
      <c r="U884" s="182">
        <f t="shared" si="253"/>
        <v>0</v>
      </c>
      <c r="V884" s="178"/>
      <c r="W884" s="182">
        <f t="shared" si="250"/>
        <v>0</v>
      </c>
      <c r="X884" s="178"/>
      <c r="Y884" s="182">
        <f t="shared" si="251"/>
        <v>0</v>
      </c>
      <c r="Z884" s="183"/>
      <c r="AA884" s="150"/>
      <c r="AB884" s="150"/>
      <c r="AC884" s="150"/>
    </row>
    <row r="885" spans="1:29" ht="18.75" customHeight="1" x14ac:dyDescent="0.25">
      <c r="A885" s="163"/>
      <c r="B885" s="189" t="s">
        <v>92</v>
      </c>
      <c r="C885" s="195">
        <f>IF($J$1="January",P879,IF($J$1="February",P880,IF($J$1="March",P881,IF($J$1="April",P882,IF($J$1="May",P883,IF($J$1="June",P884,IF($J$1="July",P885,IF($J$1="August",P886,IF($J$1="August",P886,IF($J$1="September",P887,IF($J$1="October",P888,IF($J$1="November",P889,IF($J$1="December",P890)))))))))))))</f>
        <v>30</v>
      </c>
      <c r="D885" s="149"/>
      <c r="E885" s="149"/>
      <c r="F885" s="189" t="s">
        <v>109</v>
      </c>
      <c r="G885" s="190">
        <f>IF($J$1="January",W879,IF($J$1="February",W880,IF($J$1="March",W881,IF($J$1="April",W882,IF($J$1="May",W883,IF($J$1="June",W884,IF($J$1="July",W885,IF($J$1="August",W886,IF($J$1="August",W886,IF($J$1="September",W887,IF($J$1="October",W888,IF($J$1="November",W889,IF($J$1="December",W890)))))))))))))</f>
        <v>0</v>
      </c>
      <c r="H885" s="187"/>
      <c r="I885" s="528" t="s">
        <v>110</v>
      </c>
      <c r="J885" s="503"/>
      <c r="K885" s="190">
        <f>K883+K884</f>
        <v>50000</v>
      </c>
      <c r="L885" s="196"/>
      <c r="M885" s="158"/>
      <c r="N885" s="175"/>
      <c r="O885" s="176" t="s">
        <v>111</v>
      </c>
      <c r="P885" s="176">
        <v>31</v>
      </c>
      <c r="Q885" s="176">
        <v>0</v>
      </c>
      <c r="R885" s="176">
        <f t="shared" ref="R885:R890" si="254">IF(Q885="","",R884-Q885)</f>
        <v>0</v>
      </c>
      <c r="S885" s="156"/>
      <c r="T885" s="176" t="s">
        <v>111</v>
      </c>
      <c r="U885" s="182">
        <f t="shared" si="253"/>
        <v>0</v>
      </c>
      <c r="V885" s="178"/>
      <c r="W885" s="182">
        <f t="shared" si="250"/>
        <v>0</v>
      </c>
      <c r="X885" s="178"/>
      <c r="Y885" s="182">
        <f t="shared" si="251"/>
        <v>0</v>
      </c>
      <c r="Z885" s="183"/>
      <c r="AA885" s="150"/>
      <c r="AB885" s="150"/>
      <c r="AC885" s="150"/>
    </row>
    <row r="886" spans="1:29" ht="18.75" customHeight="1" x14ac:dyDescent="0.25">
      <c r="A886" s="163"/>
      <c r="B886" s="189" t="s">
        <v>93</v>
      </c>
      <c r="C886" s="195">
        <f>IF($J$1="January",Q879,IF($J$1="February",Q880,IF($J$1="March",Q881,IF($J$1="April",Q882,IF($J$1="May",Q883,IF($J$1="June",Q884,IF($J$1="July",Q885,IF($J$1="August",Q886,IF($J$1="August",Q886,IF($J$1="September",Q887,IF($J$1="October",Q888,IF($J$1="November",Q889,IF($J$1="December",Q890)))))))))))))</f>
        <v>0</v>
      </c>
      <c r="D886" s="149"/>
      <c r="E886" s="149"/>
      <c r="F886" s="189" t="s">
        <v>11</v>
      </c>
      <c r="G886" s="190">
        <f>IF($J$1="January",X879,IF($J$1="February",X880,IF($J$1="March",X881,IF($J$1="April",X882,IF($J$1="May",X883,IF($J$1="June",X884,IF($J$1="July",X885,IF($J$1="August",X886,IF($J$1="August",X886,IF($J$1="September",X887,IF($J$1="October",X888,IF($J$1="November",X889,IF($J$1="December",X890)))))))))))))</f>
        <v>0</v>
      </c>
      <c r="H886" s="187"/>
      <c r="I886" s="528" t="s">
        <v>112</v>
      </c>
      <c r="J886" s="503"/>
      <c r="K886" s="190">
        <f>G886</f>
        <v>0</v>
      </c>
      <c r="L886" s="196"/>
      <c r="M886" s="158"/>
      <c r="N886" s="175"/>
      <c r="O886" s="176" t="s">
        <v>113</v>
      </c>
      <c r="P886" s="176">
        <v>31</v>
      </c>
      <c r="Q886" s="176">
        <v>0</v>
      </c>
      <c r="R886" s="176">
        <f t="shared" si="254"/>
        <v>0</v>
      </c>
      <c r="S886" s="156"/>
      <c r="T886" s="176" t="s">
        <v>113</v>
      </c>
      <c r="U886" s="182">
        <f t="shared" ref="U886:U887" si="255">IF($J$1="September",Y885,"")</f>
        <v>0</v>
      </c>
      <c r="V886" s="178"/>
      <c r="W886" s="182">
        <f t="shared" si="250"/>
        <v>0</v>
      </c>
      <c r="X886" s="178"/>
      <c r="Y886" s="182">
        <f t="shared" si="251"/>
        <v>0</v>
      </c>
      <c r="Z886" s="183"/>
      <c r="AA886" s="150"/>
      <c r="AB886" s="150"/>
      <c r="AC886" s="150"/>
    </row>
    <row r="887" spans="1:29" ht="18.75" customHeight="1" x14ac:dyDescent="0.25">
      <c r="A887" s="163"/>
      <c r="B887" s="212" t="s">
        <v>114</v>
      </c>
      <c r="C887" s="195">
        <f>IF($J$1="January",R879,IF($J$1="February",R880,IF($J$1="March",R881,IF($J$1="April",R882,IF($J$1="May",R883,IF($J$1="June",R884,IF($J$1="July",R885,IF($J$1="August",R886,IF($J$1="August",R886,IF($J$1="September",R887,IF($J$1="October",R888,IF($J$1="November",R889,IF($J$1="December",R890)))))))))))))</f>
        <v>0</v>
      </c>
      <c r="D887" s="149"/>
      <c r="E887" s="149"/>
      <c r="F887" s="189" t="s">
        <v>167</v>
      </c>
      <c r="G887" s="190">
        <f>IF($J$1="January",Y879,IF($J$1="February",Y880,IF($J$1="March",Y881,IF($J$1="April",Y882,IF($J$1="May",Y883,IF($J$1="June",Y884,IF($J$1="July",Y885,IF($J$1="August",Y886,IF($J$1="August",Y886,IF($J$1="September",Y887,IF($J$1="October",Y888,IF($J$1="November",Y889,IF($J$1="December",Y890)))))))))))))</f>
        <v>0</v>
      </c>
      <c r="H887" s="149"/>
      <c r="I887" s="529" t="s">
        <v>13</v>
      </c>
      <c r="J887" s="503"/>
      <c r="K887" s="37">
        <f>K885-K886</f>
        <v>50000</v>
      </c>
      <c r="L887" s="180"/>
      <c r="M887" s="158"/>
      <c r="N887" s="175"/>
      <c r="O887" s="176" t="s">
        <v>116</v>
      </c>
      <c r="P887" s="176">
        <v>30</v>
      </c>
      <c r="Q887" s="176">
        <v>0</v>
      </c>
      <c r="R887" s="176">
        <f t="shared" si="254"/>
        <v>0</v>
      </c>
      <c r="S887" s="156"/>
      <c r="T887" s="176" t="s">
        <v>116</v>
      </c>
      <c r="U887" s="182">
        <f t="shared" si="255"/>
        <v>0</v>
      </c>
      <c r="V887" s="178"/>
      <c r="W887" s="182">
        <f t="shared" si="250"/>
        <v>0</v>
      </c>
      <c r="X887" s="178"/>
      <c r="Y887" s="182">
        <f t="shared" si="251"/>
        <v>0</v>
      </c>
      <c r="Z887" s="183"/>
      <c r="AA887" s="150"/>
      <c r="AB887" s="150"/>
      <c r="AC887" s="150"/>
    </row>
    <row r="888" spans="1:29" ht="18.75" customHeight="1" x14ac:dyDescent="0.25">
      <c r="A888" s="163"/>
      <c r="B888" s="149"/>
      <c r="C888" s="149"/>
      <c r="D888" s="149"/>
      <c r="E888" s="149"/>
      <c r="F888" s="149"/>
      <c r="G888" s="149"/>
      <c r="H888" s="149"/>
      <c r="I888" s="530"/>
      <c r="J888" s="531"/>
      <c r="K888" s="151"/>
      <c r="L888" s="186"/>
      <c r="M888" s="158"/>
      <c r="N888" s="175"/>
      <c r="O888" s="176" t="s">
        <v>117</v>
      </c>
      <c r="P888" s="176"/>
      <c r="Q888" s="176"/>
      <c r="R888" s="176" t="str">
        <f t="shared" si="254"/>
        <v/>
      </c>
      <c r="S888" s="156"/>
      <c r="T888" s="176" t="s">
        <v>117</v>
      </c>
      <c r="U888" s="182" t="str">
        <f>IF($J$1="October",Y887,"")</f>
        <v/>
      </c>
      <c r="V888" s="178"/>
      <c r="W888" s="182" t="str">
        <f t="shared" si="250"/>
        <v/>
      </c>
      <c r="X888" s="178"/>
      <c r="Y888" s="182" t="str">
        <f t="shared" si="251"/>
        <v/>
      </c>
      <c r="Z888" s="183"/>
      <c r="AA888" s="150"/>
      <c r="AB888" s="150"/>
      <c r="AC888" s="150"/>
    </row>
    <row r="889" spans="1:29" ht="18.75" customHeight="1" x14ac:dyDescent="0.3">
      <c r="A889" s="163"/>
      <c r="B889" s="147"/>
      <c r="C889" s="147"/>
      <c r="D889" s="147"/>
      <c r="E889" s="147"/>
      <c r="F889" s="147"/>
      <c r="G889" s="147"/>
      <c r="H889" s="147"/>
      <c r="I889" s="530"/>
      <c r="J889" s="531"/>
      <c r="K889" s="151"/>
      <c r="L889" s="186"/>
      <c r="M889" s="158"/>
      <c r="N889" s="175"/>
      <c r="O889" s="176" t="s">
        <v>118</v>
      </c>
      <c r="P889" s="176"/>
      <c r="Q889" s="176"/>
      <c r="R889" s="176" t="str">
        <f t="shared" si="254"/>
        <v/>
      </c>
      <c r="S889" s="156"/>
      <c r="T889" s="176" t="s">
        <v>118</v>
      </c>
      <c r="U889" s="182" t="str">
        <f>IF($J$1="November",Y888,"")</f>
        <v/>
      </c>
      <c r="V889" s="178"/>
      <c r="W889" s="182" t="str">
        <f t="shared" si="250"/>
        <v/>
      </c>
      <c r="X889" s="178"/>
      <c r="Y889" s="182" t="str">
        <f t="shared" si="251"/>
        <v/>
      </c>
      <c r="Z889" s="183"/>
      <c r="AA889" s="150"/>
      <c r="AB889" s="150"/>
      <c r="AC889" s="150"/>
    </row>
    <row r="890" spans="1:29" ht="18.75" customHeight="1" x14ac:dyDescent="0.3">
      <c r="A890" s="163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86"/>
      <c r="M890" s="158"/>
      <c r="N890" s="175"/>
      <c r="O890" s="176" t="s">
        <v>119</v>
      </c>
      <c r="P890" s="176"/>
      <c r="Q890" s="176"/>
      <c r="R890" s="176" t="str">
        <f t="shared" si="254"/>
        <v/>
      </c>
      <c r="S890" s="156"/>
      <c r="T890" s="176" t="s">
        <v>119</v>
      </c>
      <c r="U890" s="182" t="str">
        <f>IF($J$1="Dec",Y889,"")</f>
        <v/>
      </c>
      <c r="V890" s="178"/>
      <c r="W890" s="182" t="str">
        <f t="shared" si="250"/>
        <v/>
      </c>
      <c r="X890" s="178"/>
      <c r="Y890" s="182" t="str">
        <f t="shared" si="251"/>
        <v/>
      </c>
      <c r="Z890" s="183"/>
      <c r="AA890" s="150"/>
      <c r="AB890" s="150"/>
      <c r="AC890" s="150"/>
    </row>
    <row r="891" spans="1:29" ht="18.75" customHeight="1" thickBot="1" x14ac:dyDescent="0.3">
      <c r="A891" s="197"/>
      <c r="B891" s="213"/>
      <c r="C891" s="213"/>
      <c r="D891" s="213"/>
      <c r="E891" s="213"/>
      <c r="F891" s="213"/>
      <c r="G891" s="213"/>
      <c r="H891" s="213"/>
      <c r="I891" s="213"/>
      <c r="J891" s="213"/>
      <c r="K891" s="213"/>
      <c r="L891" s="199"/>
      <c r="M891" s="158"/>
      <c r="N891" s="214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8"/>
      <c r="AA891" s="150"/>
      <c r="AB891" s="150"/>
      <c r="AC891" s="150"/>
    </row>
    <row r="892" spans="1:29" ht="27.75" customHeight="1" thickBot="1" x14ac:dyDescent="0.35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  <c r="AA892" s="150"/>
      <c r="AB892" s="150"/>
      <c r="AC892" s="150"/>
    </row>
    <row r="893" spans="1:29" ht="27.75" customHeight="1" x14ac:dyDescent="0.25">
      <c r="A893" s="540" t="s">
        <v>87</v>
      </c>
      <c r="B893" s="538"/>
      <c r="C893" s="538"/>
      <c r="D893" s="538"/>
      <c r="E893" s="538"/>
      <c r="F893" s="538"/>
      <c r="G893" s="538"/>
      <c r="H893" s="538"/>
      <c r="I893" s="538"/>
      <c r="J893" s="538"/>
      <c r="K893" s="538"/>
      <c r="L893" s="539"/>
      <c r="M893" s="159"/>
      <c r="N893" s="160"/>
      <c r="O893" s="524" t="s">
        <v>88</v>
      </c>
      <c r="P893" s="525"/>
      <c r="Q893" s="525"/>
      <c r="R893" s="526"/>
      <c r="S893" s="161"/>
      <c r="T893" s="524" t="s">
        <v>89</v>
      </c>
      <c r="U893" s="525"/>
      <c r="V893" s="525"/>
      <c r="W893" s="525"/>
      <c r="X893" s="525"/>
      <c r="Y893" s="526"/>
      <c r="Z893" s="162"/>
      <c r="AA893" s="150"/>
      <c r="AB893" s="150"/>
      <c r="AC893" s="150"/>
    </row>
    <row r="894" spans="1:29" ht="27.75" customHeight="1" x14ac:dyDescent="0.25">
      <c r="A894" s="163"/>
      <c r="B894" s="149"/>
      <c r="C894" s="535" t="s">
        <v>90</v>
      </c>
      <c r="D894" s="531"/>
      <c r="E894" s="531"/>
      <c r="F894" s="531"/>
      <c r="G894" s="164" t="str">
        <f>$J$1</f>
        <v>September</v>
      </c>
      <c r="H894" s="536">
        <f>$K$1</f>
        <v>2024</v>
      </c>
      <c r="I894" s="531"/>
      <c r="J894" s="149"/>
      <c r="K894" s="165"/>
      <c r="L894" s="166"/>
      <c r="M894" s="167"/>
      <c r="N894" s="168"/>
      <c r="O894" s="169" t="s">
        <v>91</v>
      </c>
      <c r="P894" s="169" t="s">
        <v>92</v>
      </c>
      <c r="Q894" s="169" t="s">
        <v>93</v>
      </c>
      <c r="R894" s="169" t="s">
        <v>94</v>
      </c>
      <c r="S894" s="170"/>
      <c r="T894" s="169" t="s">
        <v>91</v>
      </c>
      <c r="U894" s="169" t="s">
        <v>95</v>
      </c>
      <c r="V894" s="169" t="s">
        <v>9</v>
      </c>
      <c r="W894" s="169" t="s">
        <v>10</v>
      </c>
      <c r="X894" s="169" t="s">
        <v>11</v>
      </c>
      <c r="Y894" s="169" t="s">
        <v>96</v>
      </c>
      <c r="Z894" s="171"/>
      <c r="AA894" s="150"/>
      <c r="AB894" s="150"/>
      <c r="AC894" s="150"/>
    </row>
    <row r="895" spans="1:29" ht="18.75" customHeight="1" x14ac:dyDescent="0.25">
      <c r="A895" s="163"/>
      <c r="B895" s="149"/>
      <c r="C895" s="149"/>
      <c r="D895" s="172"/>
      <c r="E895" s="172"/>
      <c r="F895" s="172"/>
      <c r="G895" s="172"/>
      <c r="H895" s="172"/>
      <c r="I895" s="149"/>
      <c r="J895" s="173" t="s">
        <v>97</v>
      </c>
      <c r="K895" s="151">
        <v>30000</v>
      </c>
      <c r="L895" s="174"/>
      <c r="M895" s="158"/>
      <c r="N895" s="175"/>
      <c r="O895" s="176" t="s">
        <v>98</v>
      </c>
      <c r="P895" s="176"/>
      <c r="Q895" s="176"/>
      <c r="R895" s="176"/>
      <c r="S895" s="177"/>
      <c r="T895" s="176" t="s">
        <v>98</v>
      </c>
      <c r="U895" s="178"/>
      <c r="V895" s="178"/>
      <c r="W895" s="178">
        <f>V895+U895</f>
        <v>0</v>
      </c>
      <c r="X895" s="178"/>
      <c r="Y895" s="178">
        <f>W895-X895</f>
        <v>0</v>
      </c>
      <c r="Z895" s="171"/>
      <c r="AA895" s="150"/>
      <c r="AB895" s="150"/>
      <c r="AC895" s="150"/>
    </row>
    <row r="896" spans="1:29" ht="18.75" customHeight="1" x14ac:dyDescent="0.25">
      <c r="A896" s="163"/>
      <c r="B896" s="149" t="s">
        <v>99</v>
      </c>
      <c r="C896" s="212" t="s">
        <v>339</v>
      </c>
      <c r="D896" s="149"/>
      <c r="E896" s="149"/>
      <c r="F896" s="149"/>
      <c r="G896" s="149"/>
      <c r="H896" s="179"/>
      <c r="I896" s="172"/>
      <c r="J896" s="149"/>
      <c r="K896" s="149"/>
      <c r="L896" s="180"/>
      <c r="M896" s="159"/>
      <c r="N896" s="181"/>
      <c r="O896" s="176" t="s">
        <v>100</v>
      </c>
      <c r="P896" s="176"/>
      <c r="Q896" s="176"/>
      <c r="R896" s="176" t="str">
        <f t="shared" ref="R896:R897" si="256">IF(Q896="","",R895-Q896)</f>
        <v/>
      </c>
      <c r="S896" s="156"/>
      <c r="T896" s="176" t="s">
        <v>100</v>
      </c>
      <c r="U896" s="182">
        <f>Y895</f>
        <v>0</v>
      </c>
      <c r="V896" s="178"/>
      <c r="W896" s="182">
        <f t="shared" ref="W896:W906" si="257">IF(U896="","",U896+V896)</f>
        <v>0</v>
      </c>
      <c r="X896" s="178"/>
      <c r="Y896" s="182">
        <f t="shared" ref="Y896:Y906" si="258">IF(W896="","",W896-X896)</f>
        <v>0</v>
      </c>
      <c r="Z896" s="183"/>
      <c r="AA896" s="150"/>
      <c r="AB896" s="150"/>
      <c r="AC896" s="150"/>
    </row>
    <row r="897" spans="1:29" ht="18.75" customHeight="1" x14ac:dyDescent="0.25">
      <c r="A897" s="163"/>
      <c r="B897" s="184" t="s">
        <v>101</v>
      </c>
      <c r="C897" s="210">
        <v>45551</v>
      </c>
      <c r="D897" s="149"/>
      <c r="E897" s="149"/>
      <c r="F897" s="529" t="s">
        <v>89</v>
      </c>
      <c r="G897" s="503"/>
      <c r="H897" s="149"/>
      <c r="I897" s="529" t="s">
        <v>102</v>
      </c>
      <c r="J897" s="502"/>
      <c r="K897" s="503"/>
      <c r="L897" s="186"/>
      <c r="M897" s="158"/>
      <c r="N897" s="175"/>
      <c r="O897" s="176" t="s">
        <v>103</v>
      </c>
      <c r="P897" s="176"/>
      <c r="Q897" s="176"/>
      <c r="R897" s="176" t="str">
        <f t="shared" si="256"/>
        <v/>
      </c>
      <c r="S897" s="156"/>
      <c r="T897" s="176" t="s">
        <v>103</v>
      </c>
      <c r="U897" s="182">
        <f t="shared" ref="U897:U898" si="259">IF($J$1="April",Y896,Y896)</f>
        <v>0</v>
      </c>
      <c r="V897" s="178"/>
      <c r="W897" s="182">
        <f t="shared" si="257"/>
        <v>0</v>
      </c>
      <c r="X897" s="178"/>
      <c r="Y897" s="182">
        <f t="shared" si="258"/>
        <v>0</v>
      </c>
      <c r="Z897" s="183"/>
      <c r="AA897" s="150"/>
      <c r="AB897" s="150"/>
      <c r="AC897" s="150"/>
    </row>
    <row r="898" spans="1:29" ht="18.75" customHeight="1" x14ac:dyDescent="0.25">
      <c r="A898" s="163"/>
      <c r="B898" s="149"/>
      <c r="C898" s="149"/>
      <c r="D898" s="149"/>
      <c r="E898" s="149"/>
      <c r="F898" s="149"/>
      <c r="G898" s="149"/>
      <c r="H898" s="187"/>
      <c r="I898" s="149"/>
      <c r="J898" s="149"/>
      <c r="K898" s="149"/>
      <c r="L898" s="188"/>
      <c r="M898" s="158"/>
      <c r="N898" s="175"/>
      <c r="O898" s="176" t="s">
        <v>104</v>
      </c>
      <c r="P898" s="176"/>
      <c r="Q898" s="176"/>
      <c r="R898" s="176">
        <v>0</v>
      </c>
      <c r="S898" s="156"/>
      <c r="T898" s="176" t="s">
        <v>104</v>
      </c>
      <c r="U898" s="182">
        <f t="shared" si="259"/>
        <v>0</v>
      </c>
      <c r="V898" s="178"/>
      <c r="W898" s="182">
        <f t="shared" si="257"/>
        <v>0</v>
      </c>
      <c r="X898" s="178"/>
      <c r="Y898" s="182">
        <f t="shared" si="258"/>
        <v>0</v>
      </c>
      <c r="Z898" s="183"/>
      <c r="AA898" s="150"/>
      <c r="AB898" s="150"/>
      <c r="AC898" s="150"/>
    </row>
    <row r="899" spans="1:29" ht="18.75" customHeight="1" x14ac:dyDescent="0.25">
      <c r="A899" s="163"/>
      <c r="B899" s="527" t="s">
        <v>88</v>
      </c>
      <c r="C899" s="503"/>
      <c r="D899" s="149"/>
      <c r="E899" s="149"/>
      <c r="F899" s="189" t="s">
        <v>105</v>
      </c>
      <c r="G899" s="190">
        <f>IF($J$1="January",U895,IF($J$1="February",U896,IF($J$1="March",U897,IF($J$1="April",U898,IF($J$1="May",U899,IF($J$1="June",U900,IF($J$1="July",U901,IF($J$1="August",U902,IF($J$1="August",U902,IF($J$1="September",U903,IF($J$1="October",U904,IF($J$1="November",U905,IF($J$1="December",U906)))))))))))))</f>
        <v>0</v>
      </c>
      <c r="H899" s="187"/>
      <c r="I899" s="191">
        <f>IF(C903&gt;0,$K$2,C901)</f>
        <v>15</v>
      </c>
      <c r="J899" s="192" t="s">
        <v>106</v>
      </c>
      <c r="K899" s="193">
        <f>K895/$K$2*I899</f>
        <v>15000</v>
      </c>
      <c r="L899" s="194"/>
      <c r="M899" s="158"/>
      <c r="N899" s="175"/>
      <c r="O899" s="176" t="s">
        <v>107</v>
      </c>
      <c r="P899" s="176"/>
      <c r="Q899" s="176"/>
      <c r="R899" s="176">
        <v>0</v>
      </c>
      <c r="S899" s="156"/>
      <c r="T899" s="176" t="s">
        <v>107</v>
      </c>
      <c r="U899" s="182">
        <f t="shared" ref="U899:U901" si="260">IF($J$1="May",Y898,Y898)</f>
        <v>0</v>
      </c>
      <c r="V899" s="178"/>
      <c r="W899" s="182">
        <f t="shared" si="257"/>
        <v>0</v>
      </c>
      <c r="X899" s="178"/>
      <c r="Y899" s="182">
        <f t="shared" si="258"/>
        <v>0</v>
      </c>
      <c r="Z899" s="183"/>
      <c r="AA899" s="150"/>
      <c r="AB899" s="150"/>
      <c r="AC899" s="150"/>
    </row>
    <row r="900" spans="1:29" ht="18.75" customHeight="1" x14ac:dyDescent="0.25">
      <c r="A900" s="163"/>
      <c r="B900" s="195"/>
      <c r="C900" s="195"/>
      <c r="D900" s="149"/>
      <c r="E900" s="149"/>
      <c r="F900" s="189" t="s">
        <v>9</v>
      </c>
      <c r="G900" s="190">
        <f>IF($J$1="January",V895,IF($J$1="February",V896,IF($J$1="March",V897,IF($J$1="April",V898,IF($J$1="May",V899,IF($J$1="June",V900,IF($J$1="July",V901,IF($J$1="August",V902,IF($J$1="August",V902,IF($J$1="September",V903,IF($J$1="October",V904,IF($J$1="November",V905,IF($J$1="December",V906)))))))))))))</f>
        <v>0</v>
      </c>
      <c r="H900" s="187"/>
      <c r="I900" s="211"/>
      <c r="J900" s="192" t="s">
        <v>108</v>
      </c>
      <c r="K900" s="190">
        <f>K895/$K$2/8*I900</f>
        <v>0</v>
      </c>
      <c r="L900" s="196"/>
      <c r="M900" s="158"/>
      <c r="N900" s="175"/>
      <c r="O900" s="176" t="s">
        <v>84</v>
      </c>
      <c r="P900" s="176"/>
      <c r="Q900" s="176"/>
      <c r="R900" s="176">
        <v>0</v>
      </c>
      <c r="S900" s="156"/>
      <c r="T900" s="176" t="s">
        <v>84</v>
      </c>
      <c r="U900" s="182">
        <f t="shared" si="260"/>
        <v>0</v>
      </c>
      <c r="V900" s="178"/>
      <c r="W900" s="182">
        <f t="shared" si="257"/>
        <v>0</v>
      </c>
      <c r="X900" s="178"/>
      <c r="Y900" s="182">
        <f t="shared" si="258"/>
        <v>0</v>
      </c>
      <c r="Z900" s="183"/>
      <c r="AA900" s="150"/>
      <c r="AB900" s="150"/>
      <c r="AC900" s="150"/>
    </row>
    <row r="901" spans="1:29" ht="18.75" customHeight="1" x14ac:dyDescent="0.25">
      <c r="A901" s="163"/>
      <c r="B901" s="189" t="s">
        <v>92</v>
      </c>
      <c r="C901" s="195">
        <f>IF($J$1="January",P895,IF($J$1="February",P896,IF($J$1="March",P897,IF($J$1="April",P898,IF($J$1="May",P899,IF($J$1="June",P900,IF($J$1="July",P901,IF($J$1="August",P902,IF($J$1="August",P902,IF($J$1="September",P903,IF($J$1="October",P904,IF($J$1="November",P905,IF($J$1="December",P906)))))))))))))</f>
        <v>15</v>
      </c>
      <c r="D901" s="149"/>
      <c r="E901" s="149"/>
      <c r="F901" s="189" t="s">
        <v>109</v>
      </c>
      <c r="G901" s="190">
        <f>IF($J$1="January",W895,IF($J$1="February",W896,IF($J$1="March",W897,IF($J$1="April",W898,IF($J$1="May",W899,IF($J$1="June",W900,IF($J$1="July",W901,IF($J$1="August",W902,IF($J$1="August",W902,IF($J$1="September",W903,IF($J$1="October",W904,IF($J$1="November",W905,IF($J$1="December",W906)))))))))))))</f>
        <v>0</v>
      </c>
      <c r="H901" s="187"/>
      <c r="I901" s="528" t="s">
        <v>110</v>
      </c>
      <c r="J901" s="503"/>
      <c r="K901" s="190">
        <f>K899+K900</f>
        <v>15000</v>
      </c>
      <c r="L901" s="196"/>
      <c r="M901" s="158"/>
      <c r="N901" s="175"/>
      <c r="O901" s="176" t="s">
        <v>111</v>
      </c>
      <c r="P901" s="176"/>
      <c r="Q901" s="176"/>
      <c r="R901" s="176">
        <v>0</v>
      </c>
      <c r="S901" s="156"/>
      <c r="T901" s="176" t="s">
        <v>111</v>
      </c>
      <c r="U901" s="182">
        <f t="shared" si="260"/>
        <v>0</v>
      </c>
      <c r="V901" s="178"/>
      <c r="W901" s="182">
        <f t="shared" si="257"/>
        <v>0</v>
      </c>
      <c r="X901" s="178"/>
      <c r="Y901" s="182">
        <f t="shared" si="258"/>
        <v>0</v>
      </c>
      <c r="Z901" s="183"/>
      <c r="AA901" s="150"/>
      <c r="AB901" s="150"/>
      <c r="AC901" s="150"/>
    </row>
    <row r="902" spans="1:29" ht="18.75" customHeight="1" x14ac:dyDescent="0.25">
      <c r="A902" s="163"/>
      <c r="B902" s="189" t="s">
        <v>93</v>
      </c>
      <c r="C902" s="195">
        <f>IF($J$1="January",Q895,IF($J$1="February",Q896,IF($J$1="March",Q897,IF($J$1="April",Q898,IF($J$1="May",Q899,IF($J$1="June",Q900,IF($J$1="July",Q901,IF($J$1="August",Q902,IF($J$1="August",Q902,IF($J$1="September",Q903,IF($J$1="October",Q904,IF($J$1="November",Q905,IF($J$1="December",Q906)))))))))))))</f>
        <v>0</v>
      </c>
      <c r="D902" s="149"/>
      <c r="E902" s="149"/>
      <c r="F902" s="189" t="s">
        <v>11</v>
      </c>
      <c r="G902" s="190">
        <f>IF($J$1="January",X895,IF($J$1="February",X896,IF($J$1="March",X897,IF($J$1="April",X898,IF($J$1="May",X899,IF($J$1="June",X900,IF($J$1="July",X901,IF($J$1="August",X902,IF($J$1="August",X902,IF($J$1="September",X903,IF($J$1="October",X904,IF($J$1="November",X905,IF($J$1="December",X906)))))))))))))</f>
        <v>0</v>
      </c>
      <c r="H902" s="187"/>
      <c r="I902" s="528" t="s">
        <v>112</v>
      </c>
      <c r="J902" s="503"/>
      <c r="K902" s="190">
        <f>G902</f>
        <v>0</v>
      </c>
      <c r="L902" s="196"/>
      <c r="M902" s="158"/>
      <c r="N902" s="175"/>
      <c r="O902" s="176" t="s">
        <v>113</v>
      </c>
      <c r="P902" s="176"/>
      <c r="Q902" s="176"/>
      <c r="R902" s="176">
        <v>0</v>
      </c>
      <c r="S902" s="156"/>
      <c r="T902" s="176" t="s">
        <v>113</v>
      </c>
      <c r="U902" s="182">
        <f t="shared" ref="U902:U903" si="261">IF($J$1="September",Y901,"")</f>
        <v>0</v>
      </c>
      <c r="V902" s="178"/>
      <c r="W902" s="182">
        <f t="shared" si="257"/>
        <v>0</v>
      </c>
      <c r="X902" s="178"/>
      <c r="Y902" s="182">
        <f t="shared" si="258"/>
        <v>0</v>
      </c>
      <c r="Z902" s="183"/>
      <c r="AA902" s="150"/>
      <c r="AB902" s="150"/>
      <c r="AC902" s="150"/>
    </row>
    <row r="903" spans="1:29" ht="18.75" customHeight="1" x14ac:dyDescent="0.25">
      <c r="A903" s="163"/>
      <c r="B903" s="212" t="s">
        <v>114</v>
      </c>
      <c r="C903" s="195">
        <f>IF($J$1="January",R895,IF($J$1="February",R896,IF($J$1="March",R897,IF($J$1="April",R898,IF($J$1="May",R899,IF($J$1="June",R900,IF($J$1="July",R901,IF($J$1="August",R902,IF($J$1="August",R902,IF($J$1="September",R903,IF($J$1="October",R904,IF($J$1="November",R905,IF($J$1="December",R906)))))))))))))</f>
        <v>0</v>
      </c>
      <c r="D903" s="149"/>
      <c r="E903" s="149"/>
      <c r="F903" s="189" t="s">
        <v>167</v>
      </c>
      <c r="G903" s="190">
        <f>IF($J$1="January",Y895,IF($J$1="February",Y896,IF($J$1="March",Y897,IF($J$1="April",Y898,IF($J$1="May",Y899,IF($J$1="June",Y900,IF($J$1="July",Y901,IF($J$1="August",Y902,IF($J$1="August",Y902,IF($J$1="September",Y903,IF($J$1="October",Y904,IF($J$1="November",Y905,IF($J$1="December",Y906)))))))))))))</f>
        <v>0</v>
      </c>
      <c r="H903" s="149"/>
      <c r="I903" s="529" t="s">
        <v>13</v>
      </c>
      <c r="J903" s="503"/>
      <c r="K903" s="37">
        <f>K901-K902</f>
        <v>15000</v>
      </c>
      <c r="L903" s="180"/>
      <c r="M903" s="158"/>
      <c r="N903" s="175"/>
      <c r="O903" s="176" t="s">
        <v>116</v>
      </c>
      <c r="P903" s="176">
        <v>15</v>
      </c>
      <c r="Q903" s="176">
        <v>0</v>
      </c>
      <c r="R903" s="176">
        <v>0</v>
      </c>
      <c r="S903" s="156"/>
      <c r="T903" s="176" t="s">
        <v>116</v>
      </c>
      <c r="U903" s="182">
        <f t="shared" si="261"/>
        <v>0</v>
      </c>
      <c r="V903" s="178"/>
      <c r="W903" s="182">
        <f t="shared" si="257"/>
        <v>0</v>
      </c>
      <c r="X903" s="178"/>
      <c r="Y903" s="182">
        <f t="shared" si="258"/>
        <v>0</v>
      </c>
      <c r="Z903" s="183"/>
      <c r="AA903" s="150"/>
      <c r="AB903" s="150"/>
      <c r="AC903" s="150"/>
    </row>
    <row r="904" spans="1:29" ht="18.75" customHeight="1" x14ac:dyDescent="0.25">
      <c r="A904" s="163"/>
      <c r="B904" s="149"/>
      <c r="C904" s="149"/>
      <c r="D904" s="149"/>
      <c r="E904" s="149"/>
      <c r="F904" s="149"/>
      <c r="G904" s="149"/>
      <c r="H904" s="149"/>
      <c r="I904" s="530"/>
      <c r="J904" s="531"/>
      <c r="K904" s="151"/>
      <c r="L904" s="186"/>
      <c r="M904" s="158"/>
      <c r="N904" s="175"/>
      <c r="O904" s="176" t="s">
        <v>117</v>
      </c>
      <c r="P904" s="176"/>
      <c r="Q904" s="176"/>
      <c r="R904" s="176" t="str">
        <f t="shared" ref="R904:R906" si="262">IF(Q904="","",R903-Q904)</f>
        <v/>
      </c>
      <c r="S904" s="156"/>
      <c r="T904" s="176" t="s">
        <v>117</v>
      </c>
      <c r="U904" s="182" t="str">
        <f>IF($J$1="October",Y903,"")</f>
        <v/>
      </c>
      <c r="V904" s="178"/>
      <c r="W904" s="182" t="str">
        <f t="shared" si="257"/>
        <v/>
      </c>
      <c r="X904" s="178"/>
      <c r="Y904" s="182" t="str">
        <f t="shared" si="258"/>
        <v/>
      </c>
      <c r="Z904" s="183"/>
      <c r="AA904" s="150"/>
      <c r="AB904" s="150"/>
      <c r="AC904" s="150"/>
    </row>
    <row r="905" spans="1:29" ht="18.75" customHeight="1" x14ac:dyDescent="0.3">
      <c r="A905" s="163"/>
      <c r="B905" s="147"/>
      <c r="C905" s="147"/>
      <c r="D905" s="147"/>
      <c r="E905" s="147"/>
      <c r="F905" s="147"/>
      <c r="G905" s="147"/>
      <c r="H905" s="147"/>
      <c r="I905" s="530"/>
      <c r="J905" s="531"/>
      <c r="K905" s="151"/>
      <c r="L905" s="186"/>
      <c r="M905" s="158"/>
      <c r="N905" s="175"/>
      <c r="O905" s="176" t="s">
        <v>118</v>
      </c>
      <c r="P905" s="176"/>
      <c r="Q905" s="176"/>
      <c r="R905" s="176" t="str">
        <f t="shared" si="262"/>
        <v/>
      </c>
      <c r="S905" s="156"/>
      <c r="T905" s="176" t="s">
        <v>118</v>
      </c>
      <c r="U905" s="182" t="str">
        <f>IF($J$1="November",Y904,"")</f>
        <v/>
      </c>
      <c r="V905" s="178"/>
      <c r="W905" s="182" t="str">
        <f t="shared" si="257"/>
        <v/>
      </c>
      <c r="X905" s="178"/>
      <c r="Y905" s="182" t="str">
        <f t="shared" si="258"/>
        <v/>
      </c>
      <c r="Z905" s="183"/>
      <c r="AA905" s="150"/>
      <c r="AB905" s="150"/>
      <c r="AC905" s="150"/>
    </row>
    <row r="906" spans="1:29" ht="18.75" customHeight="1" x14ac:dyDescent="0.3">
      <c r="A906" s="163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86"/>
      <c r="M906" s="158"/>
      <c r="N906" s="175"/>
      <c r="O906" s="176" t="s">
        <v>119</v>
      </c>
      <c r="P906" s="176"/>
      <c r="Q906" s="176"/>
      <c r="R906" s="176" t="str">
        <f t="shared" si="262"/>
        <v/>
      </c>
      <c r="S906" s="156"/>
      <c r="T906" s="176" t="s">
        <v>119</v>
      </c>
      <c r="U906" s="182" t="str">
        <f>IF($J$1="Dec",Y905,"")</f>
        <v/>
      </c>
      <c r="V906" s="178"/>
      <c r="W906" s="182" t="str">
        <f t="shared" si="257"/>
        <v/>
      </c>
      <c r="X906" s="178"/>
      <c r="Y906" s="182" t="str">
        <f t="shared" si="258"/>
        <v/>
      </c>
      <c r="Z906" s="183"/>
      <c r="AA906" s="150"/>
      <c r="AB906" s="150"/>
      <c r="AC906" s="150"/>
    </row>
    <row r="907" spans="1:29" ht="18.75" customHeight="1" thickBot="1" x14ac:dyDescent="0.3">
      <c r="A907" s="197"/>
      <c r="B907" s="213"/>
      <c r="C907" s="213"/>
      <c r="D907" s="213"/>
      <c r="E907" s="213"/>
      <c r="F907" s="213"/>
      <c r="G907" s="213"/>
      <c r="H907" s="213"/>
      <c r="I907" s="213"/>
      <c r="J907" s="213"/>
      <c r="K907" s="213"/>
      <c r="L907" s="199"/>
      <c r="M907" s="158"/>
      <c r="N907" s="214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8"/>
      <c r="AA907" s="150"/>
      <c r="AB907" s="150"/>
      <c r="AC907" s="150"/>
    </row>
    <row r="908" spans="1:29" ht="27.75" customHeight="1" thickBot="1" x14ac:dyDescent="0.35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  <c r="AA908" s="150"/>
      <c r="AB908" s="150"/>
      <c r="AC908" s="150"/>
    </row>
    <row r="909" spans="1:29" ht="27.75" customHeight="1" x14ac:dyDescent="0.25">
      <c r="A909" s="540" t="s">
        <v>87</v>
      </c>
      <c r="B909" s="538"/>
      <c r="C909" s="538"/>
      <c r="D909" s="538"/>
      <c r="E909" s="538"/>
      <c r="F909" s="538"/>
      <c r="G909" s="538"/>
      <c r="H909" s="538"/>
      <c r="I909" s="538"/>
      <c r="J909" s="538"/>
      <c r="K909" s="538"/>
      <c r="L909" s="539"/>
      <c r="M909" s="159"/>
      <c r="N909" s="160"/>
      <c r="O909" s="524" t="s">
        <v>88</v>
      </c>
      <c r="P909" s="525"/>
      <c r="Q909" s="525"/>
      <c r="R909" s="526"/>
      <c r="S909" s="161"/>
      <c r="T909" s="524" t="s">
        <v>89</v>
      </c>
      <c r="U909" s="525"/>
      <c r="V909" s="525"/>
      <c r="W909" s="525"/>
      <c r="X909" s="525"/>
      <c r="Y909" s="526"/>
      <c r="Z909" s="162"/>
      <c r="AA909" s="150"/>
      <c r="AB909" s="150"/>
      <c r="AC909" s="150"/>
    </row>
    <row r="910" spans="1:29" ht="27.75" customHeight="1" x14ac:dyDescent="0.25">
      <c r="A910" s="163"/>
      <c r="B910" s="149"/>
      <c r="C910" s="535" t="s">
        <v>90</v>
      </c>
      <c r="D910" s="531"/>
      <c r="E910" s="531"/>
      <c r="F910" s="531"/>
      <c r="G910" s="164" t="str">
        <f>$J$1</f>
        <v>September</v>
      </c>
      <c r="H910" s="536">
        <f>$K$1</f>
        <v>2024</v>
      </c>
      <c r="I910" s="531"/>
      <c r="J910" s="149"/>
      <c r="K910" s="165"/>
      <c r="L910" s="166"/>
      <c r="M910" s="167"/>
      <c r="N910" s="168"/>
      <c r="O910" s="169" t="s">
        <v>91</v>
      </c>
      <c r="P910" s="169" t="s">
        <v>92</v>
      </c>
      <c r="Q910" s="169" t="s">
        <v>93</v>
      </c>
      <c r="R910" s="169" t="s">
        <v>94</v>
      </c>
      <c r="S910" s="170"/>
      <c r="T910" s="169" t="s">
        <v>91</v>
      </c>
      <c r="U910" s="169" t="s">
        <v>95</v>
      </c>
      <c r="V910" s="169" t="s">
        <v>9</v>
      </c>
      <c r="W910" s="169" t="s">
        <v>10</v>
      </c>
      <c r="X910" s="169" t="s">
        <v>11</v>
      </c>
      <c r="Y910" s="169" t="s">
        <v>96</v>
      </c>
      <c r="Z910" s="171"/>
      <c r="AA910" s="150"/>
      <c r="AB910" s="150"/>
      <c r="AC910" s="150"/>
    </row>
    <row r="911" spans="1:29" ht="18.75" customHeight="1" x14ac:dyDescent="0.25">
      <c r="A911" s="163"/>
      <c r="B911" s="149"/>
      <c r="C911" s="149"/>
      <c r="D911" s="172"/>
      <c r="E911" s="172"/>
      <c r="F911" s="172"/>
      <c r="G911" s="172"/>
      <c r="H911" s="172"/>
      <c r="I911" s="149"/>
      <c r="J911" s="173" t="s">
        <v>97</v>
      </c>
      <c r="K911" s="151">
        <f>35000+3000</f>
        <v>38000</v>
      </c>
      <c r="L911" s="174"/>
      <c r="M911" s="158"/>
      <c r="N911" s="175"/>
      <c r="O911" s="176" t="s">
        <v>98</v>
      </c>
      <c r="P911" s="176"/>
      <c r="Q911" s="176"/>
      <c r="R911" s="176"/>
      <c r="S911" s="177"/>
      <c r="T911" s="176" t="s">
        <v>98</v>
      </c>
      <c r="U911" s="178"/>
      <c r="V911" s="178"/>
      <c r="W911" s="178">
        <f>V911+U911</f>
        <v>0</v>
      </c>
      <c r="X911" s="178"/>
      <c r="Y911" s="178">
        <f>W911-X911</f>
        <v>0</v>
      </c>
      <c r="Z911" s="171"/>
      <c r="AA911" s="150"/>
      <c r="AB911" s="150"/>
      <c r="AC911" s="150"/>
    </row>
    <row r="912" spans="1:29" ht="18.75" customHeight="1" x14ac:dyDescent="0.25">
      <c r="A912" s="163"/>
      <c r="B912" s="149" t="s">
        <v>99</v>
      </c>
      <c r="C912" s="252" t="s">
        <v>295</v>
      </c>
      <c r="D912" s="149"/>
      <c r="E912" s="149"/>
      <c r="F912" s="149"/>
      <c r="G912" s="149"/>
      <c r="H912" s="179"/>
      <c r="I912" s="172"/>
      <c r="J912" s="149"/>
      <c r="K912" s="149"/>
      <c r="L912" s="180"/>
      <c r="M912" s="159"/>
      <c r="N912" s="181"/>
      <c r="O912" s="176" t="s">
        <v>100</v>
      </c>
      <c r="P912" s="176"/>
      <c r="Q912" s="176"/>
      <c r="R912" s="176" t="str">
        <f t="shared" ref="R912:R913" si="263">IF(Q912="","",R911-Q912)</f>
        <v/>
      </c>
      <c r="S912" s="156"/>
      <c r="T912" s="176" t="s">
        <v>100</v>
      </c>
      <c r="U912" s="182">
        <f>Y911</f>
        <v>0</v>
      </c>
      <c r="V912" s="178"/>
      <c r="W912" s="182">
        <f t="shared" ref="W912:W922" si="264">IF(U912="","",U912+V912)</f>
        <v>0</v>
      </c>
      <c r="X912" s="178"/>
      <c r="Y912" s="182">
        <f t="shared" ref="Y912:Y922" si="265">IF(W912="","",W912-X912)</f>
        <v>0</v>
      </c>
      <c r="Z912" s="183"/>
      <c r="AA912" s="150"/>
      <c r="AB912" s="150"/>
      <c r="AC912" s="150"/>
    </row>
    <row r="913" spans="1:29" ht="18.75" customHeight="1" x14ac:dyDescent="0.25">
      <c r="A913" s="163"/>
      <c r="B913" s="184" t="s">
        <v>101</v>
      </c>
      <c r="C913" s="210">
        <v>45474</v>
      </c>
      <c r="D913" s="149"/>
      <c r="E913" s="149"/>
      <c r="F913" s="529" t="s">
        <v>89</v>
      </c>
      <c r="G913" s="503"/>
      <c r="H913" s="149"/>
      <c r="I913" s="529" t="s">
        <v>102</v>
      </c>
      <c r="J913" s="502"/>
      <c r="K913" s="503"/>
      <c r="L913" s="186"/>
      <c r="M913" s="158"/>
      <c r="N913" s="175"/>
      <c r="O913" s="176" t="s">
        <v>103</v>
      </c>
      <c r="P913" s="176"/>
      <c r="Q913" s="176"/>
      <c r="R913" s="176" t="str">
        <f t="shared" si="263"/>
        <v/>
      </c>
      <c r="S913" s="156"/>
      <c r="T913" s="176" t="s">
        <v>103</v>
      </c>
      <c r="U913" s="182">
        <f t="shared" ref="U913:U914" si="266">IF($J$1="April",Y912,Y912)</f>
        <v>0</v>
      </c>
      <c r="V913" s="178"/>
      <c r="W913" s="182">
        <f t="shared" si="264"/>
        <v>0</v>
      </c>
      <c r="X913" s="178"/>
      <c r="Y913" s="182">
        <f t="shared" si="265"/>
        <v>0</v>
      </c>
      <c r="Z913" s="183"/>
      <c r="AA913" s="150"/>
      <c r="AB913" s="150"/>
      <c r="AC913" s="150"/>
    </row>
    <row r="914" spans="1:29" ht="18.75" customHeight="1" x14ac:dyDescent="0.25">
      <c r="A914" s="163"/>
      <c r="B914" s="149"/>
      <c r="C914" s="149"/>
      <c r="D914" s="149"/>
      <c r="E914" s="149"/>
      <c r="F914" s="149"/>
      <c r="G914" s="149"/>
      <c r="H914" s="187"/>
      <c r="I914" s="149"/>
      <c r="J914" s="149"/>
      <c r="K914" s="149"/>
      <c r="L914" s="188"/>
      <c r="M914" s="158"/>
      <c r="N914" s="175"/>
      <c r="O914" s="176" t="s">
        <v>104</v>
      </c>
      <c r="P914" s="176"/>
      <c r="Q914" s="176"/>
      <c r="R914" s="176">
        <v>0</v>
      </c>
      <c r="S914" s="156"/>
      <c r="T914" s="176" t="s">
        <v>104</v>
      </c>
      <c r="U914" s="182">
        <f t="shared" si="266"/>
        <v>0</v>
      </c>
      <c r="V914" s="178"/>
      <c r="W914" s="182">
        <f t="shared" si="264"/>
        <v>0</v>
      </c>
      <c r="X914" s="178"/>
      <c r="Y914" s="182">
        <f t="shared" si="265"/>
        <v>0</v>
      </c>
      <c r="Z914" s="183"/>
      <c r="AA914" s="150"/>
      <c r="AB914" s="150"/>
      <c r="AC914" s="150"/>
    </row>
    <row r="915" spans="1:29" ht="18.75" customHeight="1" x14ac:dyDescent="0.25">
      <c r="A915" s="163"/>
      <c r="B915" s="527" t="s">
        <v>88</v>
      </c>
      <c r="C915" s="503"/>
      <c r="D915" s="149"/>
      <c r="E915" s="149"/>
      <c r="F915" s="189" t="s">
        <v>105</v>
      </c>
      <c r="G915" s="190">
        <f>IF($J$1="January",U911,IF($J$1="February",U912,IF($J$1="March",U913,IF($J$1="April",U914,IF($J$1="May",U915,IF($J$1="June",U916,IF($J$1="July",U917,IF($J$1="August",U918,IF($J$1="August",U918,IF($J$1="September",U919,IF($J$1="October",U920,IF($J$1="November",U921,IF($J$1="December",U922)))))))))))))</f>
        <v>0</v>
      </c>
      <c r="H915" s="187"/>
      <c r="I915" s="191">
        <f>IF(C919&gt;0,$K$2,C917)</f>
        <v>29</v>
      </c>
      <c r="J915" s="192" t="s">
        <v>106</v>
      </c>
      <c r="K915" s="193">
        <f>K911/$K$2*I915</f>
        <v>36733.333333333336</v>
      </c>
      <c r="L915" s="194"/>
      <c r="M915" s="158"/>
      <c r="N915" s="175"/>
      <c r="O915" s="176" t="s">
        <v>107</v>
      </c>
      <c r="P915" s="176"/>
      <c r="Q915" s="176"/>
      <c r="R915" s="176">
        <v>0</v>
      </c>
      <c r="S915" s="156"/>
      <c r="T915" s="176" t="s">
        <v>107</v>
      </c>
      <c r="U915" s="182">
        <f t="shared" ref="U915:U917" si="267">IF($J$1="May",Y914,Y914)</f>
        <v>0</v>
      </c>
      <c r="V915" s="178"/>
      <c r="W915" s="182">
        <f t="shared" si="264"/>
        <v>0</v>
      </c>
      <c r="X915" s="178"/>
      <c r="Y915" s="182">
        <f t="shared" si="265"/>
        <v>0</v>
      </c>
      <c r="Z915" s="183"/>
      <c r="AA915" s="150"/>
      <c r="AB915" s="150"/>
      <c r="AC915" s="150"/>
    </row>
    <row r="916" spans="1:29" ht="18.75" customHeight="1" x14ac:dyDescent="0.25">
      <c r="A916" s="163"/>
      <c r="B916" s="195"/>
      <c r="C916" s="195"/>
      <c r="D916" s="149"/>
      <c r="E916" s="149"/>
      <c r="F916" s="189" t="s">
        <v>9</v>
      </c>
      <c r="G916" s="190">
        <f>IF($J$1="January",V911,IF($J$1="February",V912,IF($J$1="March",V913,IF($J$1="April",V914,IF($J$1="May",V915,IF($J$1="June",V916,IF($J$1="July",V917,IF($J$1="August",V918,IF($J$1="August",V918,IF($J$1="September",V919,IF($J$1="October",V920,IF($J$1="November",V921,IF($J$1="December",V922)))))))))))))</f>
        <v>0</v>
      </c>
      <c r="H916" s="187"/>
      <c r="I916" s="211"/>
      <c r="J916" s="192" t="s">
        <v>108</v>
      </c>
      <c r="K916" s="190">
        <f>K911/$K$2/8*I916</f>
        <v>0</v>
      </c>
      <c r="L916" s="196"/>
      <c r="M916" s="158"/>
      <c r="N916" s="175"/>
      <c r="O916" s="176" t="s">
        <v>84</v>
      </c>
      <c r="P916" s="176"/>
      <c r="Q916" s="176"/>
      <c r="R916" s="176">
        <v>0</v>
      </c>
      <c r="S916" s="156"/>
      <c r="T916" s="176" t="s">
        <v>84</v>
      </c>
      <c r="U916" s="182">
        <f t="shared" si="267"/>
        <v>0</v>
      </c>
      <c r="V916" s="178"/>
      <c r="W916" s="182">
        <f t="shared" si="264"/>
        <v>0</v>
      </c>
      <c r="X916" s="178"/>
      <c r="Y916" s="182">
        <f t="shared" si="265"/>
        <v>0</v>
      </c>
      <c r="Z916" s="183"/>
      <c r="AA916" s="150"/>
      <c r="AB916" s="150"/>
      <c r="AC916" s="150"/>
    </row>
    <row r="917" spans="1:29" ht="18.75" customHeight="1" x14ac:dyDescent="0.25">
      <c r="A917" s="163"/>
      <c r="B917" s="189" t="s">
        <v>92</v>
      </c>
      <c r="C917" s="195">
        <f>IF($J$1="January",P911,IF($J$1="February",P912,IF($J$1="March",P913,IF($J$1="April",P914,IF($J$1="May",P915,IF($J$1="June",P916,IF($J$1="July",P917,IF($J$1="August",P918,IF($J$1="August",P918,IF($J$1="September",P919,IF($J$1="October",P920,IF($J$1="November",P921,IF($J$1="December",P922)))))))))))))</f>
        <v>29</v>
      </c>
      <c r="D917" s="149"/>
      <c r="E917" s="149"/>
      <c r="F917" s="189" t="s">
        <v>109</v>
      </c>
      <c r="G917" s="190">
        <f>IF($J$1="January",W911,IF($J$1="February",W912,IF($J$1="March",W913,IF($J$1="April",W914,IF($J$1="May",W915,IF($J$1="June",W916,IF($J$1="July",W917,IF($J$1="August",W918,IF($J$1="August",W918,IF($J$1="September",W919,IF($J$1="October",W920,IF($J$1="November",W921,IF($J$1="December",W922)))))))))))))</f>
        <v>0</v>
      </c>
      <c r="H917" s="187"/>
      <c r="I917" s="528" t="s">
        <v>110</v>
      </c>
      <c r="J917" s="503"/>
      <c r="K917" s="190">
        <f>K915+K916</f>
        <v>36733.333333333336</v>
      </c>
      <c r="L917" s="196"/>
      <c r="M917" s="158"/>
      <c r="N917" s="175"/>
      <c r="O917" s="176" t="s">
        <v>111</v>
      </c>
      <c r="P917" s="176">
        <v>29</v>
      </c>
      <c r="Q917" s="176">
        <v>2</v>
      </c>
      <c r="R917" s="176">
        <v>0</v>
      </c>
      <c r="S917" s="156"/>
      <c r="T917" s="176" t="s">
        <v>111</v>
      </c>
      <c r="U917" s="182">
        <f t="shared" si="267"/>
        <v>0</v>
      </c>
      <c r="V917" s="178"/>
      <c r="W917" s="182">
        <f t="shared" si="264"/>
        <v>0</v>
      </c>
      <c r="X917" s="178"/>
      <c r="Y917" s="182">
        <f t="shared" si="265"/>
        <v>0</v>
      </c>
      <c r="Z917" s="183"/>
      <c r="AA917" s="150"/>
      <c r="AB917" s="150"/>
      <c r="AC917" s="150"/>
    </row>
    <row r="918" spans="1:29" ht="18.75" customHeight="1" x14ac:dyDescent="0.25">
      <c r="A918" s="163"/>
      <c r="B918" s="189" t="s">
        <v>93</v>
      </c>
      <c r="C918" s="195">
        <f>IF($J$1="January",Q911,IF($J$1="February",Q912,IF($J$1="March",Q913,IF($J$1="April",Q914,IF($J$1="May",Q915,IF($J$1="June",Q916,IF($J$1="July",Q917,IF($J$1="August",Q918,IF($J$1="August",Q918,IF($J$1="September",Q919,IF($J$1="October",Q920,IF($J$1="November",Q921,IF($J$1="December",Q922)))))))))))))</f>
        <v>1</v>
      </c>
      <c r="D918" s="149"/>
      <c r="E918" s="149"/>
      <c r="F918" s="189" t="s">
        <v>11</v>
      </c>
      <c r="G918" s="190">
        <f>IF($J$1="January",X911,IF($J$1="February",X912,IF($J$1="March",X913,IF($J$1="April",X914,IF($J$1="May",X915,IF($J$1="June",X916,IF($J$1="July",X917,IF($J$1="August",X918,IF($J$1="August",X918,IF($J$1="September",X919,IF($J$1="October",X920,IF($J$1="November",X921,IF($J$1="December",X922)))))))))))))</f>
        <v>0</v>
      </c>
      <c r="H918" s="187"/>
      <c r="I918" s="528" t="s">
        <v>112</v>
      </c>
      <c r="J918" s="503"/>
      <c r="K918" s="190">
        <f>G918</f>
        <v>0</v>
      </c>
      <c r="L918" s="196"/>
      <c r="M918" s="158"/>
      <c r="N918" s="175"/>
      <c r="O918" s="176" t="s">
        <v>113</v>
      </c>
      <c r="P918" s="176">
        <v>29</v>
      </c>
      <c r="Q918" s="176">
        <v>2</v>
      </c>
      <c r="R918" s="176">
        <v>0</v>
      </c>
      <c r="S918" s="156"/>
      <c r="T918" s="176" t="s">
        <v>113</v>
      </c>
      <c r="U918" s="182">
        <f t="shared" ref="U918:U919" si="268">IF($J$1="September",Y917,"")</f>
        <v>0</v>
      </c>
      <c r="V918" s="178"/>
      <c r="W918" s="182">
        <f t="shared" si="264"/>
        <v>0</v>
      </c>
      <c r="X918" s="178"/>
      <c r="Y918" s="182">
        <f t="shared" si="265"/>
        <v>0</v>
      </c>
      <c r="Z918" s="183"/>
      <c r="AA918" s="150"/>
      <c r="AB918" s="150"/>
      <c r="AC918" s="150"/>
    </row>
    <row r="919" spans="1:29" ht="18.75" customHeight="1" x14ac:dyDescent="0.25">
      <c r="A919" s="163"/>
      <c r="B919" s="212" t="s">
        <v>114</v>
      </c>
      <c r="C919" s="195">
        <f>IF($J$1="January",R911,IF($J$1="February",R912,IF($J$1="March",R913,IF($J$1="April",R914,IF($J$1="May",R915,IF($J$1="June",R916,IF($J$1="July",R917,IF($J$1="August",R918,IF($J$1="August",R918,IF($J$1="September",R919,IF($J$1="October",R920,IF($J$1="November",R921,IF($J$1="December",R922)))))))))))))</f>
        <v>0</v>
      </c>
      <c r="D919" s="149"/>
      <c r="E919" s="149"/>
      <c r="F919" s="189" t="s">
        <v>167</v>
      </c>
      <c r="G919" s="190">
        <f>IF($J$1="January",Y911,IF($J$1="February",Y912,IF($J$1="March",Y913,IF($J$1="April",Y914,IF($J$1="May",Y915,IF($J$1="June",Y916,IF($J$1="July",Y917,IF($J$1="August",Y918,IF($J$1="August",Y918,IF($J$1="September",Y919,IF($J$1="October",Y920,IF($J$1="November",Y921,IF($J$1="December",Y922)))))))))))))</f>
        <v>0</v>
      </c>
      <c r="H919" s="149"/>
      <c r="I919" s="529" t="s">
        <v>13</v>
      </c>
      <c r="J919" s="503"/>
      <c r="K919" s="37">
        <f>K917-K918</f>
        <v>36733.333333333336</v>
      </c>
      <c r="L919" s="180"/>
      <c r="M919" s="158"/>
      <c r="N919" s="175"/>
      <c r="O919" s="176" t="s">
        <v>116</v>
      </c>
      <c r="P919" s="176">
        <v>29</v>
      </c>
      <c r="Q919" s="176">
        <v>1</v>
      </c>
      <c r="R919" s="176">
        <v>0</v>
      </c>
      <c r="S919" s="156"/>
      <c r="T919" s="176" t="s">
        <v>116</v>
      </c>
      <c r="U919" s="182">
        <f t="shared" si="268"/>
        <v>0</v>
      </c>
      <c r="V919" s="178"/>
      <c r="W919" s="182">
        <f t="shared" si="264"/>
        <v>0</v>
      </c>
      <c r="X919" s="178"/>
      <c r="Y919" s="182">
        <f t="shared" si="265"/>
        <v>0</v>
      </c>
      <c r="Z919" s="183"/>
      <c r="AA919" s="150"/>
      <c r="AB919" s="150"/>
      <c r="AC919" s="150"/>
    </row>
    <row r="920" spans="1:29" ht="18.75" customHeight="1" x14ac:dyDescent="0.25">
      <c r="A920" s="163"/>
      <c r="B920" s="149"/>
      <c r="C920" s="149"/>
      <c r="D920" s="149"/>
      <c r="E920" s="149"/>
      <c r="F920" s="149"/>
      <c r="G920" s="149"/>
      <c r="H920" s="149"/>
      <c r="I920" s="530"/>
      <c r="J920" s="531"/>
      <c r="K920" s="151"/>
      <c r="L920" s="186"/>
      <c r="M920" s="158"/>
      <c r="N920" s="175"/>
      <c r="O920" s="176" t="s">
        <v>117</v>
      </c>
      <c r="P920" s="176"/>
      <c r="Q920" s="176"/>
      <c r="R920" s="176" t="str">
        <f t="shared" ref="R920:R922" si="269">IF(Q920="","",R919-Q920)</f>
        <v/>
      </c>
      <c r="S920" s="156"/>
      <c r="T920" s="176" t="s">
        <v>117</v>
      </c>
      <c r="U920" s="182" t="str">
        <f>IF($J$1="October",Y919,"")</f>
        <v/>
      </c>
      <c r="V920" s="178"/>
      <c r="W920" s="182" t="str">
        <f t="shared" si="264"/>
        <v/>
      </c>
      <c r="X920" s="178"/>
      <c r="Y920" s="182" t="str">
        <f t="shared" si="265"/>
        <v/>
      </c>
      <c r="Z920" s="183"/>
      <c r="AA920" s="150"/>
      <c r="AB920" s="150"/>
      <c r="AC920" s="150"/>
    </row>
    <row r="921" spans="1:29" ht="18.75" customHeight="1" x14ac:dyDescent="0.3">
      <c r="A921" s="163"/>
      <c r="B921" s="147"/>
      <c r="C921" s="147"/>
      <c r="D921" s="147"/>
      <c r="E921" s="147"/>
      <c r="F921" s="147"/>
      <c r="G921" s="147"/>
      <c r="H921" s="147"/>
      <c r="I921" s="530"/>
      <c r="J921" s="531"/>
      <c r="K921" s="151"/>
      <c r="L921" s="186"/>
      <c r="M921" s="158"/>
      <c r="N921" s="175"/>
      <c r="O921" s="176" t="s">
        <v>118</v>
      </c>
      <c r="P921" s="176"/>
      <c r="Q921" s="176"/>
      <c r="R921" s="176" t="str">
        <f t="shared" si="269"/>
        <v/>
      </c>
      <c r="S921" s="156"/>
      <c r="T921" s="176" t="s">
        <v>118</v>
      </c>
      <c r="U921" s="182" t="str">
        <f>IF($J$1="November",Y920,"")</f>
        <v/>
      </c>
      <c r="V921" s="178"/>
      <c r="W921" s="182" t="str">
        <f t="shared" si="264"/>
        <v/>
      </c>
      <c r="X921" s="178"/>
      <c r="Y921" s="182" t="str">
        <f t="shared" si="265"/>
        <v/>
      </c>
      <c r="Z921" s="183"/>
      <c r="AA921" s="150"/>
      <c r="AB921" s="150"/>
      <c r="AC921" s="150"/>
    </row>
    <row r="922" spans="1:29" ht="18.75" customHeight="1" x14ac:dyDescent="0.3">
      <c r="A922" s="163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86"/>
      <c r="M922" s="158"/>
      <c r="N922" s="175"/>
      <c r="O922" s="176" t="s">
        <v>119</v>
      </c>
      <c r="P922" s="176"/>
      <c r="Q922" s="176"/>
      <c r="R922" s="176" t="str">
        <f t="shared" si="269"/>
        <v/>
      </c>
      <c r="S922" s="156"/>
      <c r="T922" s="176" t="s">
        <v>119</v>
      </c>
      <c r="U922" s="182" t="str">
        <f>IF($J$1="Dec",Y921,"")</f>
        <v/>
      </c>
      <c r="V922" s="178"/>
      <c r="W922" s="182" t="str">
        <f t="shared" si="264"/>
        <v/>
      </c>
      <c r="X922" s="178"/>
      <c r="Y922" s="182" t="str">
        <f t="shared" si="265"/>
        <v/>
      </c>
      <c r="Z922" s="183"/>
      <c r="AA922" s="150"/>
      <c r="AB922" s="150"/>
      <c r="AC922" s="150"/>
    </row>
    <row r="923" spans="1:29" ht="18.75" customHeight="1" thickBot="1" x14ac:dyDescent="0.3">
      <c r="A923" s="197"/>
      <c r="B923" s="213"/>
      <c r="C923" s="213"/>
      <c r="D923" s="213"/>
      <c r="E923" s="213"/>
      <c r="F923" s="213"/>
      <c r="G923" s="213"/>
      <c r="H923" s="213"/>
      <c r="I923" s="213"/>
      <c r="J923" s="213"/>
      <c r="K923" s="213"/>
      <c r="L923" s="199"/>
      <c r="M923" s="158"/>
      <c r="N923" s="214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8"/>
      <c r="AA923" s="150"/>
      <c r="AB923" s="150"/>
      <c r="AC923" s="150"/>
    </row>
    <row r="924" spans="1:29" ht="27.75" customHeight="1" thickBot="1" x14ac:dyDescent="0.35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  <c r="AA924" s="150"/>
      <c r="AB924" s="150"/>
      <c r="AC924" s="150"/>
    </row>
    <row r="925" spans="1:29" ht="27.75" customHeight="1" x14ac:dyDescent="0.25">
      <c r="A925" s="540" t="s">
        <v>87</v>
      </c>
      <c r="B925" s="538"/>
      <c r="C925" s="538"/>
      <c r="D925" s="538"/>
      <c r="E925" s="538"/>
      <c r="F925" s="538"/>
      <c r="G925" s="538"/>
      <c r="H925" s="538"/>
      <c r="I925" s="538"/>
      <c r="J925" s="538"/>
      <c r="K925" s="538"/>
      <c r="L925" s="539"/>
      <c r="M925" s="159"/>
      <c r="N925" s="160"/>
      <c r="O925" s="524" t="s">
        <v>88</v>
      </c>
      <c r="P925" s="525"/>
      <c r="Q925" s="525"/>
      <c r="R925" s="526"/>
      <c r="S925" s="161"/>
      <c r="T925" s="524" t="s">
        <v>89</v>
      </c>
      <c r="U925" s="525"/>
      <c r="V925" s="525"/>
      <c r="W925" s="525"/>
      <c r="X925" s="525"/>
      <c r="Y925" s="526"/>
      <c r="Z925" s="162"/>
      <c r="AA925" s="150"/>
      <c r="AB925" s="150"/>
      <c r="AC925" s="150"/>
    </row>
    <row r="926" spans="1:29" ht="27.75" customHeight="1" x14ac:dyDescent="0.25">
      <c r="A926" s="163"/>
      <c r="B926" s="149"/>
      <c r="C926" s="535" t="s">
        <v>90</v>
      </c>
      <c r="D926" s="531"/>
      <c r="E926" s="531"/>
      <c r="F926" s="531"/>
      <c r="G926" s="164" t="str">
        <f>$J$1</f>
        <v>September</v>
      </c>
      <c r="H926" s="536">
        <f>$K$1</f>
        <v>2024</v>
      </c>
      <c r="I926" s="531"/>
      <c r="J926" s="149"/>
      <c r="K926" s="165"/>
      <c r="L926" s="166"/>
      <c r="M926" s="167"/>
      <c r="N926" s="168"/>
      <c r="O926" s="169" t="s">
        <v>91</v>
      </c>
      <c r="P926" s="169" t="s">
        <v>92</v>
      </c>
      <c r="Q926" s="169" t="s">
        <v>93</v>
      </c>
      <c r="R926" s="169" t="s">
        <v>94</v>
      </c>
      <c r="S926" s="170"/>
      <c r="T926" s="169" t="s">
        <v>91</v>
      </c>
      <c r="U926" s="169" t="s">
        <v>95</v>
      </c>
      <c r="V926" s="169" t="s">
        <v>9</v>
      </c>
      <c r="W926" s="169" t="s">
        <v>10</v>
      </c>
      <c r="X926" s="169" t="s">
        <v>11</v>
      </c>
      <c r="Y926" s="169" t="s">
        <v>96</v>
      </c>
      <c r="Z926" s="171"/>
      <c r="AA926" s="150"/>
      <c r="AB926" s="150"/>
      <c r="AC926" s="150"/>
    </row>
    <row r="927" spans="1:29" ht="18.75" customHeight="1" x14ac:dyDescent="0.25">
      <c r="A927" s="163"/>
      <c r="B927" s="149"/>
      <c r="C927" s="149"/>
      <c r="D927" s="172"/>
      <c r="E927" s="172"/>
      <c r="F927" s="172"/>
      <c r="G927" s="172"/>
      <c r="H927" s="172"/>
      <c r="I927" s="149"/>
      <c r="J927" s="173" t="s">
        <v>97</v>
      </c>
      <c r="K927" s="151">
        <v>35000</v>
      </c>
      <c r="L927" s="174"/>
      <c r="M927" s="158"/>
      <c r="N927" s="175"/>
      <c r="O927" s="176" t="s">
        <v>98</v>
      </c>
      <c r="P927" s="176"/>
      <c r="Q927" s="176"/>
      <c r="R927" s="176"/>
      <c r="S927" s="177"/>
      <c r="T927" s="176" t="s">
        <v>98</v>
      </c>
      <c r="U927" s="178"/>
      <c r="V927" s="178"/>
      <c r="W927" s="178">
        <f>V927+U927</f>
        <v>0</v>
      </c>
      <c r="X927" s="178"/>
      <c r="Y927" s="178">
        <f>W927-X927</f>
        <v>0</v>
      </c>
      <c r="Z927" s="171"/>
      <c r="AA927" s="150"/>
      <c r="AB927" s="150"/>
      <c r="AC927" s="150"/>
    </row>
    <row r="928" spans="1:29" ht="18.75" customHeight="1" x14ac:dyDescent="0.25">
      <c r="A928" s="163"/>
      <c r="B928" s="149" t="s">
        <v>99</v>
      </c>
      <c r="C928" s="253" t="s">
        <v>297</v>
      </c>
      <c r="D928" s="149"/>
      <c r="E928" s="149"/>
      <c r="F928" s="149"/>
      <c r="G928" s="149"/>
      <c r="H928" s="179"/>
      <c r="I928" s="172"/>
      <c r="J928" s="149"/>
      <c r="K928" s="149"/>
      <c r="L928" s="180"/>
      <c r="M928" s="159"/>
      <c r="N928" s="181"/>
      <c r="O928" s="176" t="s">
        <v>100</v>
      </c>
      <c r="P928" s="176"/>
      <c r="Q928" s="176"/>
      <c r="R928" s="176" t="str">
        <f t="shared" ref="R928:R929" si="270">IF(Q928="","",R927-Q928)</f>
        <v/>
      </c>
      <c r="S928" s="156"/>
      <c r="T928" s="176" t="s">
        <v>100</v>
      </c>
      <c r="U928" s="182">
        <f>Y927</f>
        <v>0</v>
      </c>
      <c r="V928" s="178"/>
      <c r="W928" s="182">
        <f t="shared" ref="W928:W938" si="271">IF(U928="","",U928+V928)</f>
        <v>0</v>
      </c>
      <c r="X928" s="178"/>
      <c r="Y928" s="182">
        <f t="shared" ref="Y928:Y938" si="272">IF(W928="","",W928-X928)</f>
        <v>0</v>
      </c>
      <c r="Z928" s="183"/>
      <c r="AA928" s="150"/>
      <c r="AB928" s="150"/>
      <c r="AC928" s="150"/>
    </row>
    <row r="929" spans="1:29" ht="18.75" customHeight="1" x14ac:dyDescent="0.25">
      <c r="A929" s="163"/>
      <c r="B929" s="184" t="s">
        <v>101</v>
      </c>
      <c r="C929" s="210">
        <v>45474</v>
      </c>
      <c r="D929" s="149"/>
      <c r="E929" s="149"/>
      <c r="F929" s="529" t="s">
        <v>89</v>
      </c>
      <c r="G929" s="503"/>
      <c r="H929" s="149"/>
      <c r="I929" s="529" t="s">
        <v>102</v>
      </c>
      <c r="J929" s="502"/>
      <c r="K929" s="503"/>
      <c r="L929" s="186"/>
      <c r="M929" s="158"/>
      <c r="N929" s="175"/>
      <c r="O929" s="176" t="s">
        <v>103</v>
      </c>
      <c r="P929" s="176"/>
      <c r="Q929" s="176"/>
      <c r="R929" s="176" t="str">
        <f t="shared" si="270"/>
        <v/>
      </c>
      <c r="S929" s="156"/>
      <c r="T929" s="176" t="s">
        <v>103</v>
      </c>
      <c r="U929" s="182">
        <f t="shared" ref="U929:U930" si="273">IF($J$1="April",Y928,Y928)</f>
        <v>0</v>
      </c>
      <c r="V929" s="178"/>
      <c r="W929" s="182">
        <f t="shared" si="271"/>
        <v>0</v>
      </c>
      <c r="X929" s="178"/>
      <c r="Y929" s="182">
        <f t="shared" si="272"/>
        <v>0</v>
      </c>
      <c r="Z929" s="183"/>
      <c r="AA929" s="150"/>
      <c r="AB929" s="150"/>
      <c r="AC929" s="150"/>
    </row>
    <row r="930" spans="1:29" ht="18.75" customHeight="1" x14ac:dyDescent="0.25">
      <c r="A930" s="163"/>
      <c r="B930" s="149"/>
      <c r="C930" s="149"/>
      <c r="D930" s="149"/>
      <c r="E930" s="149"/>
      <c r="F930" s="149"/>
      <c r="G930" s="149"/>
      <c r="H930" s="187"/>
      <c r="I930" s="149"/>
      <c r="J930" s="149"/>
      <c r="K930" s="149"/>
      <c r="L930" s="188"/>
      <c r="M930" s="158"/>
      <c r="N930" s="175"/>
      <c r="O930" s="176" t="s">
        <v>104</v>
      </c>
      <c r="P930" s="176"/>
      <c r="Q930" s="176"/>
      <c r="R930" s="176">
        <v>0</v>
      </c>
      <c r="S930" s="156"/>
      <c r="T930" s="176" t="s">
        <v>104</v>
      </c>
      <c r="U930" s="182">
        <f t="shared" si="273"/>
        <v>0</v>
      </c>
      <c r="V930" s="178"/>
      <c r="W930" s="182">
        <f t="shared" si="271"/>
        <v>0</v>
      </c>
      <c r="X930" s="178"/>
      <c r="Y930" s="182">
        <f t="shared" si="272"/>
        <v>0</v>
      </c>
      <c r="Z930" s="183"/>
      <c r="AA930" s="150"/>
      <c r="AB930" s="150"/>
      <c r="AC930" s="150"/>
    </row>
    <row r="931" spans="1:29" ht="18.75" customHeight="1" x14ac:dyDescent="0.25">
      <c r="A931" s="163"/>
      <c r="B931" s="527" t="s">
        <v>88</v>
      </c>
      <c r="C931" s="503"/>
      <c r="D931" s="149"/>
      <c r="E931" s="149"/>
      <c r="F931" s="189" t="s">
        <v>105</v>
      </c>
      <c r="G931" s="190">
        <f>IF($J$1="January",U927,IF($J$1="February",U928,IF($J$1="March",U929,IF($J$1="April",U930,IF($J$1="May",U931,IF($J$1="June",U932,IF($J$1="July",U933,IF($J$1="August",U934,IF($J$1="August",U934,IF($J$1="September",U935,IF($J$1="October",U936,IF($J$1="November",U937,IF($J$1="December",U938)))))))))))))</f>
        <v>0</v>
      </c>
      <c r="H931" s="187"/>
      <c r="I931" s="191">
        <f>IF(C935&gt;0,$K$2,C933)</f>
        <v>29</v>
      </c>
      <c r="J931" s="192" t="s">
        <v>106</v>
      </c>
      <c r="K931" s="193">
        <f>K927/$K$2*I931</f>
        <v>33833.333333333336</v>
      </c>
      <c r="L931" s="194"/>
      <c r="M931" s="158"/>
      <c r="N931" s="175"/>
      <c r="O931" s="176" t="s">
        <v>107</v>
      </c>
      <c r="P931" s="176"/>
      <c r="Q931" s="176"/>
      <c r="R931" s="176">
        <v>0</v>
      </c>
      <c r="S931" s="156"/>
      <c r="T931" s="176" t="s">
        <v>107</v>
      </c>
      <c r="U931" s="182">
        <f t="shared" ref="U931:U933" si="274">IF($J$1="May",Y930,Y930)</f>
        <v>0</v>
      </c>
      <c r="V931" s="178"/>
      <c r="W931" s="182">
        <f t="shared" si="271"/>
        <v>0</v>
      </c>
      <c r="X931" s="178"/>
      <c r="Y931" s="182">
        <f t="shared" si="272"/>
        <v>0</v>
      </c>
      <c r="Z931" s="183"/>
      <c r="AA931" s="150"/>
      <c r="AB931" s="150"/>
      <c r="AC931" s="150"/>
    </row>
    <row r="932" spans="1:29" ht="18.75" customHeight="1" x14ac:dyDescent="0.25">
      <c r="A932" s="163"/>
      <c r="B932" s="195"/>
      <c r="C932" s="195"/>
      <c r="D932" s="149"/>
      <c r="E932" s="149"/>
      <c r="F932" s="189" t="s">
        <v>9</v>
      </c>
      <c r="G932" s="190">
        <f>IF($J$1="January",V927,IF($J$1="February",V928,IF($J$1="March",V929,IF($J$1="April",V930,IF($J$1="May",V931,IF($J$1="June",V932,IF($J$1="July",V933,IF($J$1="August",V934,IF($J$1="August",V934,IF($J$1="September",V935,IF($J$1="October",V936,IF($J$1="November",V937,IF($J$1="December",V938)))))))))))))</f>
        <v>0</v>
      </c>
      <c r="H932" s="187"/>
      <c r="I932" s="211">
        <v>0</v>
      </c>
      <c r="J932" s="192" t="s">
        <v>108</v>
      </c>
      <c r="K932" s="190">
        <f>K927/$K$2/8*I932</f>
        <v>0</v>
      </c>
      <c r="L932" s="196"/>
      <c r="M932" s="158"/>
      <c r="N932" s="175"/>
      <c r="O932" s="176" t="s">
        <v>84</v>
      </c>
      <c r="P932" s="176"/>
      <c r="Q932" s="176"/>
      <c r="R932" s="176">
        <v>0</v>
      </c>
      <c r="S932" s="156"/>
      <c r="T932" s="176" t="s">
        <v>84</v>
      </c>
      <c r="U932" s="182">
        <f t="shared" si="274"/>
        <v>0</v>
      </c>
      <c r="V932" s="178"/>
      <c r="W932" s="182">
        <f t="shared" si="271"/>
        <v>0</v>
      </c>
      <c r="X932" s="178"/>
      <c r="Y932" s="182">
        <f t="shared" si="272"/>
        <v>0</v>
      </c>
      <c r="Z932" s="183"/>
      <c r="AA932" s="150"/>
      <c r="AB932" s="150"/>
      <c r="AC932" s="150"/>
    </row>
    <row r="933" spans="1:29" ht="18.75" customHeight="1" x14ac:dyDescent="0.25">
      <c r="A933" s="163"/>
      <c r="B933" s="189" t="s">
        <v>92</v>
      </c>
      <c r="C933" s="195">
        <f>IF($J$1="January",P927,IF($J$1="February",P928,IF($J$1="March",P929,IF($J$1="April",P930,IF($J$1="May",P931,IF($J$1="June",P932,IF($J$1="July",P933,IF($J$1="August",P934,IF($J$1="August",P934,IF($J$1="September",P935,IF($J$1="October",P936,IF($J$1="November",P937,IF($J$1="December",P938)))))))))))))</f>
        <v>29</v>
      </c>
      <c r="D933" s="149"/>
      <c r="E933" s="149"/>
      <c r="F933" s="189" t="s">
        <v>109</v>
      </c>
      <c r="G933" s="190">
        <f>IF($J$1="January",W927,IF($J$1="February",W928,IF($J$1="March",W929,IF($J$1="April",W930,IF($J$1="May",W931,IF($J$1="June",W932,IF($J$1="July",W933,IF($J$1="August",W934,IF($J$1="August",W934,IF($J$1="September",W935,IF($J$1="October",W936,IF($J$1="November",W937,IF($J$1="December",W938)))))))))))))</f>
        <v>0</v>
      </c>
      <c r="H933" s="187"/>
      <c r="I933" s="528" t="s">
        <v>110</v>
      </c>
      <c r="J933" s="503"/>
      <c r="K933" s="190">
        <f>K931+K932</f>
        <v>33833.333333333336</v>
      </c>
      <c r="L933" s="196"/>
      <c r="M933" s="158"/>
      <c r="N933" s="175"/>
      <c r="O933" s="176" t="s">
        <v>111</v>
      </c>
      <c r="P933" s="176">
        <v>18</v>
      </c>
      <c r="Q933" s="176">
        <v>13</v>
      </c>
      <c r="R933" s="176">
        <v>0</v>
      </c>
      <c r="S933" s="156"/>
      <c r="T933" s="176" t="s">
        <v>111</v>
      </c>
      <c r="U933" s="182">
        <f t="shared" si="274"/>
        <v>0</v>
      </c>
      <c r="V933" s="178"/>
      <c r="W933" s="182">
        <f t="shared" si="271"/>
        <v>0</v>
      </c>
      <c r="X933" s="178"/>
      <c r="Y933" s="182">
        <f t="shared" si="272"/>
        <v>0</v>
      </c>
      <c r="Z933" s="183"/>
      <c r="AA933" s="150"/>
      <c r="AB933" s="150"/>
      <c r="AC933" s="150"/>
    </row>
    <row r="934" spans="1:29" ht="18.75" customHeight="1" x14ac:dyDescent="0.25">
      <c r="A934" s="163"/>
      <c r="B934" s="189" t="s">
        <v>93</v>
      </c>
      <c r="C934" s="195">
        <f>IF($J$1="January",Q927,IF($J$1="February",Q928,IF($J$1="March",Q929,IF($J$1="April",Q930,IF($J$1="May",Q931,IF($J$1="June",Q932,IF($J$1="July",Q933,IF($J$1="August",Q934,IF($J$1="August",Q934,IF($J$1="September",Q935,IF($J$1="October",Q936,IF($J$1="November",Q937,IF($J$1="December",Q938)))))))))))))</f>
        <v>1</v>
      </c>
      <c r="D934" s="149"/>
      <c r="E934" s="149"/>
      <c r="F934" s="189" t="s">
        <v>11</v>
      </c>
      <c r="G934" s="190">
        <f>IF($J$1="January",X927,IF($J$1="February",X928,IF($J$1="March",X929,IF($J$1="April",X930,IF($J$1="May",X931,IF($J$1="June",X932,IF($J$1="July",X933,IF($J$1="August",X934,IF($J$1="August",X934,IF($J$1="September",X935,IF($J$1="October",X936,IF($J$1="November",X937,IF($J$1="December",X938)))))))))))))</f>
        <v>0</v>
      </c>
      <c r="H934" s="187"/>
      <c r="I934" s="528" t="s">
        <v>112</v>
      </c>
      <c r="J934" s="503"/>
      <c r="K934" s="190">
        <f>G934</f>
        <v>0</v>
      </c>
      <c r="L934" s="196"/>
      <c r="M934" s="158"/>
      <c r="N934" s="175"/>
      <c r="O934" s="176" t="s">
        <v>113</v>
      </c>
      <c r="P934" s="176">
        <v>30</v>
      </c>
      <c r="Q934" s="176">
        <v>1</v>
      </c>
      <c r="R934" s="176">
        <v>0</v>
      </c>
      <c r="S934" s="156"/>
      <c r="T934" s="176" t="s">
        <v>113</v>
      </c>
      <c r="U934" s="182">
        <f t="shared" ref="U934:U935" si="275">IF($J$1="September",Y933,"")</f>
        <v>0</v>
      </c>
      <c r="V934" s="178"/>
      <c r="W934" s="182">
        <f t="shared" si="271"/>
        <v>0</v>
      </c>
      <c r="X934" s="178"/>
      <c r="Y934" s="182">
        <f t="shared" si="272"/>
        <v>0</v>
      </c>
      <c r="Z934" s="183"/>
      <c r="AA934" s="150"/>
      <c r="AB934" s="150"/>
      <c r="AC934" s="150"/>
    </row>
    <row r="935" spans="1:29" ht="18.75" customHeight="1" x14ac:dyDescent="0.25">
      <c r="A935" s="163"/>
      <c r="B935" s="212" t="s">
        <v>114</v>
      </c>
      <c r="C935" s="195">
        <f>IF($J$1="January",R927,IF($J$1="February",R928,IF($J$1="March",R929,IF($J$1="April",R930,IF($J$1="May",R931,IF($J$1="June",R932,IF($J$1="July",R933,IF($J$1="August",R934,IF($J$1="August",R934,IF($J$1="September",R935,IF($J$1="October",R936,IF($J$1="November",R937,IF($J$1="December",R938)))))))))))))</f>
        <v>0</v>
      </c>
      <c r="D935" s="149"/>
      <c r="E935" s="149"/>
      <c r="F935" s="189" t="s">
        <v>167</v>
      </c>
      <c r="G935" s="190">
        <f>IF($J$1="January",Y927,IF($J$1="February",Y928,IF($J$1="March",Y929,IF($J$1="April",Y930,IF($J$1="May",Y931,IF($J$1="June",Y932,IF($J$1="July",Y933,IF($J$1="August",Y934,IF($J$1="August",Y934,IF($J$1="September",Y935,IF($J$1="October",Y936,IF($J$1="November",Y937,IF($J$1="December",Y938)))))))))))))</f>
        <v>0</v>
      </c>
      <c r="H935" s="149"/>
      <c r="I935" s="529" t="s">
        <v>13</v>
      </c>
      <c r="J935" s="503"/>
      <c r="K935" s="37">
        <f>K933-K934</f>
        <v>33833.333333333336</v>
      </c>
      <c r="L935" s="180"/>
      <c r="M935" s="158"/>
      <c r="N935" s="175"/>
      <c r="O935" s="176" t="s">
        <v>116</v>
      </c>
      <c r="P935" s="176">
        <v>29</v>
      </c>
      <c r="Q935" s="176">
        <v>1</v>
      </c>
      <c r="R935" s="176">
        <v>0</v>
      </c>
      <c r="S935" s="156"/>
      <c r="T935" s="176" t="s">
        <v>116</v>
      </c>
      <c r="U935" s="182">
        <f t="shared" si="275"/>
        <v>0</v>
      </c>
      <c r="V935" s="178"/>
      <c r="W935" s="182">
        <f t="shared" si="271"/>
        <v>0</v>
      </c>
      <c r="X935" s="178"/>
      <c r="Y935" s="182">
        <f t="shared" si="272"/>
        <v>0</v>
      </c>
      <c r="Z935" s="183"/>
      <c r="AA935" s="150"/>
      <c r="AB935" s="150"/>
      <c r="AC935" s="150"/>
    </row>
    <row r="936" spans="1:29" ht="18.75" customHeight="1" x14ac:dyDescent="0.25">
      <c r="A936" s="163"/>
      <c r="B936" s="149"/>
      <c r="C936" s="149"/>
      <c r="D936" s="149"/>
      <c r="E936" s="149"/>
      <c r="F936" s="149"/>
      <c r="G936" s="149"/>
      <c r="H936" s="149"/>
      <c r="I936" s="530"/>
      <c r="J936" s="531"/>
      <c r="K936" s="151"/>
      <c r="L936" s="186"/>
      <c r="M936" s="158"/>
      <c r="N936" s="175"/>
      <c r="O936" s="176" t="s">
        <v>117</v>
      </c>
      <c r="P936" s="176"/>
      <c r="Q936" s="176"/>
      <c r="R936" s="176" t="str">
        <f t="shared" ref="R936:R938" si="276">IF(Q936="","",R935-Q936)</f>
        <v/>
      </c>
      <c r="S936" s="156"/>
      <c r="T936" s="176" t="s">
        <v>117</v>
      </c>
      <c r="U936" s="182" t="str">
        <f>IF($J$1="October",Y935,"")</f>
        <v/>
      </c>
      <c r="V936" s="178"/>
      <c r="W936" s="182" t="str">
        <f t="shared" si="271"/>
        <v/>
      </c>
      <c r="X936" s="178"/>
      <c r="Y936" s="182" t="str">
        <f t="shared" si="272"/>
        <v/>
      </c>
      <c r="Z936" s="183"/>
      <c r="AA936" s="150"/>
      <c r="AB936" s="150"/>
      <c r="AC936" s="150"/>
    </row>
    <row r="937" spans="1:29" ht="18.75" customHeight="1" x14ac:dyDescent="0.3">
      <c r="A937" s="163"/>
      <c r="B937" s="147"/>
      <c r="C937" s="147"/>
      <c r="D937" s="147"/>
      <c r="E937" s="147"/>
      <c r="F937" s="147"/>
      <c r="G937" s="147"/>
      <c r="H937" s="147"/>
      <c r="I937" s="530"/>
      <c r="J937" s="531"/>
      <c r="K937" s="151"/>
      <c r="L937" s="186"/>
      <c r="M937" s="158"/>
      <c r="N937" s="175"/>
      <c r="O937" s="176" t="s">
        <v>118</v>
      </c>
      <c r="P937" s="176"/>
      <c r="Q937" s="176"/>
      <c r="R937" s="176" t="str">
        <f t="shared" si="276"/>
        <v/>
      </c>
      <c r="S937" s="156"/>
      <c r="T937" s="176" t="s">
        <v>118</v>
      </c>
      <c r="U937" s="182" t="str">
        <f>IF($J$1="November",Y936,"")</f>
        <v/>
      </c>
      <c r="V937" s="178"/>
      <c r="W937" s="182" t="str">
        <f t="shared" si="271"/>
        <v/>
      </c>
      <c r="X937" s="178"/>
      <c r="Y937" s="182" t="str">
        <f t="shared" si="272"/>
        <v/>
      </c>
      <c r="Z937" s="183"/>
      <c r="AA937" s="150"/>
      <c r="AB937" s="150"/>
      <c r="AC937" s="150"/>
    </row>
    <row r="938" spans="1:29" ht="18.75" customHeight="1" x14ac:dyDescent="0.3">
      <c r="A938" s="163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86"/>
      <c r="M938" s="158"/>
      <c r="N938" s="175"/>
      <c r="O938" s="176" t="s">
        <v>119</v>
      </c>
      <c r="P938" s="176"/>
      <c r="Q938" s="176"/>
      <c r="R938" s="176" t="str">
        <f t="shared" si="276"/>
        <v/>
      </c>
      <c r="S938" s="156"/>
      <c r="T938" s="176" t="s">
        <v>119</v>
      </c>
      <c r="U938" s="182" t="str">
        <f>IF($J$1="Dec",Y937,"")</f>
        <v/>
      </c>
      <c r="V938" s="178"/>
      <c r="W938" s="182" t="str">
        <f t="shared" si="271"/>
        <v/>
      </c>
      <c r="X938" s="178"/>
      <c r="Y938" s="182" t="str">
        <f t="shared" si="272"/>
        <v/>
      </c>
      <c r="Z938" s="183"/>
      <c r="AA938" s="150"/>
      <c r="AB938" s="150"/>
      <c r="AC938" s="150"/>
    </row>
    <row r="939" spans="1:29" ht="18.75" customHeight="1" thickBot="1" x14ac:dyDescent="0.3">
      <c r="A939" s="197"/>
      <c r="B939" s="213"/>
      <c r="C939" s="213"/>
      <c r="D939" s="213"/>
      <c r="E939" s="213"/>
      <c r="F939" s="213"/>
      <c r="G939" s="213"/>
      <c r="H939" s="213"/>
      <c r="I939" s="213"/>
      <c r="J939" s="213"/>
      <c r="K939" s="213"/>
      <c r="L939" s="199"/>
      <c r="M939" s="158"/>
      <c r="N939" s="214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8"/>
      <c r="AA939" s="150"/>
      <c r="AB939" s="150"/>
      <c r="AC939" s="150"/>
    </row>
    <row r="940" spans="1:29" ht="27.75" customHeight="1" thickBot="1" x14ac:dyDescent="0.35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  <c r="AA940" s="150"/>
      <c r="AB940" s="150"/>
      <c r="AC940" s="150"/>
    </row>
    <row r="941" spans="1:29" ht="27.75" customHeight="1" x14ac:dyDescent="0.25">
      <c r="A941" s="540" t="s">
        <v>87</v>
      </c>
      <c r="B941" s="538"/>
      <c r="C941" s="538"/>
      <c r="D941" s="538"/>
      <c r="E941" s="538"/>
      <c r="F941" s="538"/>
      <c r="G941" s="538"/>
      <c r="H941" s="538"/>
      <c r="I941" s="538"/>
      <c r="J941" s="538"/>
      <c r="K941" s="538"/>
      <c r="L941" s="539"/>
      <c r="M941" s="159"/>
      <c r="N941" s="160"/>
      <c r="O941" s="524" t="s">
        <v>88</v>
      </c>
      <c r="P941" s="525"/>
      <c r="Q941" s="525"/>
      <c r="R941" s="526"/>
      <c r="S941" s="161"/>
      <c r="T941" s="524" t="s">
        <v>89</v>
      </c>
      <c r="U941" s="525"/>
      <c r="V941" s="525"/>
      <c r="W941" s="525"/>
      <c r="X941" s="525"/>
      <c r="Y941" s="526"/>
      <c r="Z941" s="162"/>
      <c r="AA941" s="150"/>
      <c r="AB941" s="150"/>
      <c r="AC941" s="150"/>
    </row>
    <row r="942" spans="1:29" ht="27.75" customHeight="1" x14ac:dyDescent="0.25">
      <c r="A942" s="163"/>
      <c r="B942" s="149"/>
      <c r="C942" s="535" t="s">
        <v>90</v>
      </c>
      <c r="D942" s="531"/>
      <c r="E942" s="531"/>
      <c r="F942" s="531"/>
      <c r="G942" s="164" t="str">
        <f>$J$1</f>
        <v>September</v>
      </c>
      <c r="H942" s="536">
        <f>$K$1</f>
        <v>2024</v>
      </c>
      <c r="I942" s="531"/>
      <c r="J942" s="149"/>
      <c r="K942" s="165"/>
      <c r="L942" s="166"/>
      <c r="M942" s="167"/>
      <c r="N942" s="168"/>
      <c r="O942" s="169" t="s">
        <v>91</v>
      </c>
      <c r="P942" s="169" t="s">
        <v>92</v>
      </c>
      <c r="Q942" s="169" t="s">
        <v>93</v>
      </c>
      <c r="R942" s="169" t="s">
        <v>94</v>
      </c>
      <c r="S942" s="170"/>
      <c r="T942" s="169" t="s">
        <v>91</v>
      </c>
      <c r="U942" s="169" t="s">
        <v>95</v>
      </c>
      <c r="V942" s="169" t="s">
        <v>9</v>
      </c>
      <c r="W942" s="169" t="s">
        <v>10</v>
      </c>
      <c r="X942" s="169" t="s">
        <v>11</v>
      </c>
      <c r="Y942" s="169" t="s">
        <v>96</v>
      </c>
      <c r="Z942" s="171"/>
      <c r="AA942" s="150"/>
      <c r="AB942" s="150"/>
      <c r="AC942" s="150"/>
    </row>
    <row r="943" spans="1:29" ht="18.75" customHeight="1" x14ac:dyDescent="0.25">
      <c r="A943" s="163"/>
      <c r="B943" s="149"/>
      <c r="C943" s="149"/>
      <c r="D943" s="172"/>
      <c r="E943" s="172"/>
      <c r="F943" s="172"/>
      <c r="G943" s="172"/>
      <c r="H943" s="172"/>
      <c r="I943" s="149"/>
      <c r="J943" s="173" t="s">
        <v>97</v>
      </c>
      <c r="K943" s="151">
        <v>40000</v>
      </c>
      <c r="L943" s="174"/>
      <c r="M943" s="158"/>
      <c r="N943" s="175"/>
      <c r="O943" s="176" t="s">
        <v>98</v>
      </c>
      <c r="P943" s="176"/>
      <c r="Q943" s="176"/>
      <c r="R943" s="176"/>
      <c r="S943" s="177"/>
      <c r="T943" s="176" t="s">
        <v>98</v>
      </c>
      <c r="U943" s="178"/>
      <c r="V943" s="178"/>
      <c r="W943" s="178">
        <f>V943+U943</f>
        <v>0</v>
      </c>
      <c r="X943" s="178"/>
      <c r="Y943" s="178">
        <f>W943-X943</f>
        <v>0</v>
      </c>
      <c r="Z943" s="171"/>
      <c r="AA943" s="150"/>
      <c r="AB943" s="150"/>
      <c r="AC943" s="150"/>
    </row>
    <row r="944" spans="1:29" ht="18.75" customHeight="1" x14ac:dyDescent="0.25">
      <c r="A944" s="163"/>
      <c r="B944" s="149" t="s">
        <v>99</v>
      </c>
      <c r="C944" s="258" t="s">
        <v>300</v>
      </c>
      <c r="D944" s="149"/>
      <c r="E944" s="149"/>
      <c r="F944" s="149"/>
      <c r="G944" s="149"/>
      <c r="H944" s="179"/>
      <c r="I944" s="172"/>
      <c r="J944" s="149"/>
      <c r="K944" s="149"/>
      <c r="L944" s="180"/>
      <c r="M944" s="159"/>
      <c r="N944" s="181"/>
      <c r="O944" s="176" t="s">
        <v>100</v>
      </c>
      <c r="P944" s="176"/>
      <c r="Q944" s="176"/>
      <c r="R944" s="176" t="str">
        <f t="shared" ref="R944:R945" si="277">IF(Q944="","",R943-Q944)</f>
        <v/>
      </c>
      <c r="S944" s="156"/>
      <c r="T944" s="176" t="s">
        <v>100</v>
      </c>
      <c r="U944" s="182">
        <f>Y943</f>
        <v>0</v>
      </c>
      <c r="V944" s="178"/>
      <c r="W944" s="182">
        <f t="shared" ref="W944:W954" si="278">IF(U944="","",U944+V944)</f>
        <v>0</v>
      </c>
      <c r="X944" s="178"/>
      <c r="Y944" s="182">
        <f t="shared" ref="Y944:Y954" si="279">IF(W944="","",W944-X944)</f>
        <v>0</v>
      </c>
      <c r="Z944" s="183"/>
      <c r="AA944" s="150"/>
      <c r="AB944" s="150"/>
      <c r="AC944" s="150"/>
    </row>
    <row r="945" spans="1:29" ht="18.75" customHeight="1" x14ac:dyDescent="0.25">
      <c r="A945" s="163"/>
      <c r="B945" s="184" t="s">
        <v>101</v>
      </c>
      <c r="C945" s="210">
        <v>45474</v>
      </c>
      <c r="D945" s="149"/>
      <c r="E945" s="149"/>
      <c r="F945" s="529" t="s">
        <v>89</v>
      </c>
      <c r="G945" s="503"/>
      <c r="H945" s="149"/>
      <c r="I945" s="529" t="s">
        <v>102</v>
      </c>
      <c r="J945" s="502"/>
      <c r="K945" s="503"/>
      <c r="L945" s="186"/>
      <c r="M945" s="158"/>
      <c r="N945" s="175"/>
      <c r="O945" s="176" t="s">
        <v>103</v>
      </c>
      <c r="P945" s="176"/>
      <c r="Q945" s="176"/>
      <c r="R945" s="176" t="str">
        <f t="shared" si="277"/>
        <v/>
      </c>
      <c r="S945" s="156"/>
      <c r="T945" s="176" t="s">
        <v>103</v>
      </c>
      <c r="U945" s="182">
        <f t="shared" ref="U945:U946" si="280">IF($J$1="April",Y944,Y944)</f>
        <v>0</v>
      </c>
      <c r="V945" s="178"/>
      <c r="W945" s="182">
        <f t="shared" si="278"/>
        <v>0</v>
      </c>
      <c r="X945" s="178"/>
      <c r="Y945" s="182">
        <f t="shared" si="279"/>
        <v>0</v>
      </c>
      <c r="Z945" s="183"/>
      <c r="AA945" s="150"/>
      <c r="AB945" s="150"/>
      <c r="AC945" s="150"/>
    </row>
    <row r="946" spans="1:29" ht="18.75" customHeight="1" x14ac:dyDescent="0.25">
      <c r="A946" s="163"/>
      <c r="B946" s="149"/>
      <c r="C946" s="149"/>
      <c r="D946" s="149"/>
      <c r="E946" s="149"/>
      <c r="F946" s="149"/>
      <c r="G946" s="149"/>
      <c r="H946" s="187"/>
      <c r="I946" s="149"/>
      <c r="J946" s="149"/>
      <c r="K946" s="149"/>
      <c r="L946" s="188"/>
      <c r="M946" s="158"/>
      <c r="N946" s="175"/>
      <c r="O946" s="176" t="s">
        <v>104</v>
      </c>
      <c r="P946" s="176"/>
      <c r="Q946" s="176"/>
      <c r="R946" s="176">
        <v>0</v>
      </c>
      <c r="S946" s="156"/>
      <c r="T946" s="176" t="s">
        <v>104</v>
      </c>
      <c r="U946" s="182">
        <f t="shared" si="280"/>
        <v>0</v>
      </c>
      <c r="V946" s="178"/>
      <c r="W946" s="182">
        <f t="shared" si="278"/>
        <v>0</v>
      </c>
      <c r="X946" s="178"/>
      <c r="Y946" s="182">
        <f t="shared" si="279"/>
        <v>0</v>
      </c>
      <c r="Z946" s="183"/>
      <c r="AA946" s="150"/>
      <c r="AB946" s="150"/>
      <c r="AC946" s="150"/>
    </row>
    <row r="947" spans="1:29" ht="18.75" customHeight="1" x14ac:dyDescent="0.25">
      <c r="A947" s="163"/>
      <c r="B947" s="527" t="s">
        <v>88</v>
      </c>
      <c r="C947" s="503"/>
      <c r="D947" s="149"/>
      <c r="E947" s="149"/>
      <c r="F947" s="189" t="s">
        <v>105</v>
      </c>
      <c r="G947" s="190">
        <f>IF($J$1="January",U943,IF($J$1="February",U944,IF($J$1="March",U945,IF($J$1="April",U946,IF($J$1="May",U947,IF($J$1="June",U948,IF($J$1="July",U949,IF($J$1="August",U950,IF($J$1="August",U950,IF($J$1="September",U951,IF($J$1="October",U952,IF($J$1="November",U953,IF($J$1="December",U954)))))))))))))</f>
        <v>0</v>
      </c>
      <c r="H947" s="187"/>
      <c r="I947" s="191">
        <f>IF(C951&gt;0,$K$2,C949)</f>
        <v>30</v>
      </c>
      <c r="J947" s="192" t="s">
        <v>106</v>
      </c>
      <c r="K947" s="193">
        <f>K943/$K$2*I947</f>
        <v>40000</v>
      </c>
      <c r="L947" s="194"/>
      <c r="M947" s="158"/>
      <c r="N947" s="175"/>
      <c r="O947" s="176" t="s">
        <v>107</v>
      </c>
      <c r="P947" s="176"/>
      <c r="Q947" s="176"/>
      <c r="R947" s="176">
        <v>0</v>
      </c>
      <c r="S947" s="156"/>
      <c r="T947" s="176" t="s">
        <v>107</v>
      </c>
      <c r="U947" s="182">
        <f t="shared" ref="U947:U949" si="281">IF($J$1="May",Y946,Y946)</f>
        <v>0</v>
      </c>
      <c r="V947" s="178"/>
      <c r="W947" s="182">
        <f t="shared" si="278"/>
        <v>0</v>
      </c>
      <c r="X947" s="178"/>
      <c r="Y947" s="182">
        <f t="shared" si="279"/>
        <v>0</v>
      </c>
      <c r="Z947" s="183"/>
      <c r="AA947" s="150"/>
      <c r="AB947" s="150"/>
      <c r="AC947" s="150"/>
    </row>
    <row r="948" spans="1:29" ht="18.75" customHeight="1" x14ac:dyDescent="0.25">
      <c r="A948" s="163"/>
      <c r="B948" s="195"/>
      <c r="C948" s="195"/>
      <c r="D948" s="149"/>
      <c r="E948" s="149"/>
      <c r="F948" s="189" t="s">
        <v>9</v>
      </c>
      <c r="G948" s="190">
        <f>IF($J$1="January",V943,IF($J$1="February",V944,IF($J$1="March",V945,IF($J$1="April",V946,IF($J$1="May",V947,IF($J$1="June",V948,IF($J$1="July",V949,IF($J$1="August",V950,IF($J$1="August",V950,IF($J$1="September",V951,IF($J$1="October",V952,IF($J$1="November",V953,IF($J$1="December",V954)))))))))))))</f>
        <v>0</v>
      </c>
      <c r="H948" s="187"/>
      <c r="I948" s="211">
        <v>0</v>
      </c>
      <c r="J948" s="192" t="s">
        <v>108</v>
      </c>
      <c r="K948" s="190">
        <f>K943/$K$2/8*I948</f>
        <v>0</v>
      </c>
      <c r="L948" s="196"/>
      <c r="M948" s="158"/>
      <c r="N948" s="175"/>
      <c r="O948" s="176" t="s">
        <v>84</v>
      </c>
      <c r="P948" s="176"/>
      <c r="Q948" s="176"/>
      <c r="R948" s="176">
        <v>0</v>
      </c>
      <c r="S948" s="156"/>
      <c r="T948" s="176" t="s">
        <v>84</v>
      </c>
      <c r="U948" s="182">
        <f t="shared" si="281"/>
        <v>0</v>
      </c>
      <c r="V948" s="178"/>
      <c r="W948" s="182">
        <f t="shared" si="278"/>
        <v>0</v>
      </c>
      <c r="X948" s="178"/>
      <c r="Y948" s="182">
        <f t="shared" si="279"/>
        <v>0</v>
      </c>
      <c r="Z948" s="183"/>
      <c r="AA948" s="150"/>
      <c r="AB948" s="150"/>
      <c r="AC948" s="150"/>
    </row>
    <row r="949" spans="1:29" ht="18.75" customHeight="1" x14ac:dyDescent="0.25">
      <c r="A949" s="163"/>
      <c r="B949" s="189" t="s">
        <v>92</v>
      </c>
      <c r="C949" s="195">
        <f>IF($J$1="January",P943,IF($J$1="February",P944,IF($J$1="March",P945,IF($J$1="April",P946,IF($J$1="May",P947,IF($J$1="June",P948,IF($J$1="July",P949,IF($J$1="August",P950,IF($J$1="August",P950,IF($J$1="September",P951,IF($J$1="October",P952,IF($J$1="November",P953,IF($J$1="December",P954)))))))))))))</f>
        <v>30</v>
      </c>
      <c r="D949" s="149"/>
      <c r="E949" s="149"/>
      <c r="F949" s="189" t="s">
        <v>109</v>
      </c>
      <c r="G949" s="190">
        <f>IF($J$1="January",W943,IF($J$1="February",W944,IF($J$1="March",W945,IF($J$1="April",W946,IF($J$1="May",W947,IF($J$1="June",W948,IF($J$1="July",W949,IF($J$1="August",W950,IF($J$1="August",W950,IF($J$1="September",W951,IF($J$1="October",W952,IF($J$1="November",W953,IF($J$1="December",W954)))))))))))))</f>
        <v>0</v>
      </c>
      <c r="H949" s="187"/>
      <c r="I949" s="528" t="s">
        <v>110</v>
      </c>
      <c r="J949" s="503"/>
      <c r="K949" s="190">
        <f>K947+K948</f>
        <v>40000</v>
      </c>
      <c r="L949" s="196"/>
      <c r="M949" s="158"/>
      <c r="N949" s="175"/>
      <c r="O949" s="176" t="s">
        <v>111</v>
      </c>
      <c r="P949" s="176">
        <v>26</v>
      </c>
      <c r="Q949" s="176">
        <v>5</v>
      </c>
      <c r="R949" s="176">
        <v>0</v>
      </c>
      <c r="S949" s="156"/>
      <c r="T949" s="176" t="s">
        <v>111</v>
      </c>
      <c r="U949" s="182">
        <f t="shared" si="281"/>
        <v>0</v>
      </c>
      <c r="V949" s="178"/>
      <c r="W949" s="182">
        <f t="shared" si="278"/>
        <v>0</v>
      </c>
      <c r="X949" s="178"/>
      <c r="Y949" s="182">
        <f t="shared" si="279"/>
        <v>0</v>
      </c>
      <c r="Z949" s="183"/>
      <c r="AA949" s="150"/>
      <c r="AB949" s="150"/>
      <c r="AC949" s="150"/>
    </row>
    <row r="950" spans="1:29" ht="18.75" customHeight="1" x14ac:dyDescent="0.25">
      <c r="A950" s="163"/>
      <c r="B950" s="189" t="s">
        <v>93</v>
      </c>
      <c r="C950" s="195">
        <f>IF($J$1="January",Q943,IF($J$1="February",Q944,IF($J$1="March",Q945,IF($J$1="April",Q946,IF($J$1="May",Q947,IF($J$1="June",Q948,IF($J$1="July",Q949,IF($J$1="August",Q950,IF($J$1="August",Q950,IF($J$1="September",Q951,IF($J$1="October",Q952,IF($J$1="November",Q953,IF($J$1="December",Q954)))))))))))))</f>
        <v>0</v>
      </c>
      <c r="D950" s="149"/>
      <c r="E950" s="149"/>
      <c r="F950" s="189" t="s">
        <v>11</v>
      </c>
      <c r="G950" s="190">
        <f>IF($J$1="January",X943,IF($J$1="February",X944,IF($J$1="March",X945,IF($J$1="April",X946,IF($J$1="May",X947,IF($J$1="June",X948,IF($J$1="July",X949,IF($J$1="August",X950,IF($J$1="August",X950,IF($J$1="September",X951,IF($J$1="October",X952,IF($J$1="November",X953,IF($J$1="December",X954)))))))))))))</f>
        <v>0</v>
      </c>
      <c r="H950" s="187"/>
      <c r="I950" s="528" t="s">
        <v>112</v>
      </c>
      <c r="J950" s="503"/>
      <c r="K950" s="190">
        <f>G950</f>
        <v>0</v>
      </c>
      <c r="L950" s="196"/>
      <c r="M950" s="158"/>
      <c r="N950" s="175"/>
      <c r="O950" s="176" t="s">
        <v>113</v>
      </c>
      <c r="P950" s="176">
        <v>31</v>
      </c>
      <c r="Q950" s="176">
        <v>0</v>
      </c>
      <c r="R950" s="176">
        <f t="shared" ref="R950:R954" si="282">IF(Q950="","",R949-Q950)</f>
        <v>0</v>
      </c>
      <c r="S950" s="156"/>
      <c r="T950" s="176" t="s">
        <v>113</v>
      </c>
      <c r="U950" s="182">
        <f t="shared" ref="U950:U951" si="283">IF($J$1="September",Y949,"")</f>
        <v>0</v>
      </c>
      <c r="V950" s="178"/>
      <c r="W950" s="182">
        <f t="shared" si="278"/>
        <v>0</v>
      </c>
      <c r="X950" s="178"/>
      <c r="Y950" s="182">
        <f t="shared" si="279"/>
        <v>0</v>
      </c>
      <c r="Z950" s="183"/>
      <c r="AA950" s="150"/>
      <c r="AB950" s="150"/>
      <c r="AC950" s="150"/>
    </row>
    <row r="951" spans="1:29" ht="18.75" customHeight="1" x14ac:dyDescent="0.25">
      <c r="A951" s="163"/>
      <c r="B951" s="212" t="s">
        <v>114</v>
      </c>
      <c r="C951" s="195">
        <f>IF($J$1="January",R943,IF($J$1="February",R944,IF($J$1="March",R945,IF($J$1="April",R946,IF($J$1="May",R947,IF($J$1="June",R948,IF($J$1="July",R949,IF($J$1="August",R950,IF($J$1="August",R950,IF($J$1="September",R951,IF($J$1="October",R952,IF($J$1="November",R953,IF($J$1="December",R954)))))))))))))</f>
        <v>0</v>
      </c>
      <c r="D951" s="149"/>
      <c r="E951" s="149"/>
      <c r="F951" s="189" t="s">
        <v>167</v>
      </c>
      <c r="G951" s="190">
        <f>IF($J$1="January",Y943,IF($J$1="February",Y944,IF($J$1="March",Y945,IF($J$1="April",Y946,IF($J$1="May",Y947,IF($J$1="June",Y948,IF($J$1="July",Y949,IF($J$1="August",Y950,IF($J$1="August",Y950,IF($J$1="September",Y951,IF($J$1="October",Y952,IF($J$1="November",Y953,IF($J$1="December",Y954)))))))))))))</f>
        <v>0</v>
      </c>
      <c r="H951" s="149"/>
      <c r="I951" s="529" t="s">
        <v>13</v>
      </c>
      <c r="J951" s="503"/>
      <c r="K951" s="37">
        <f>K949-K950</f>
        <v>40000</v>
      </c>
      <c r="L951" s="180"/>
      <c r="M951" s="158"/>
      <c r="N951" s="175"/>
      <c r="O951" s="176" t="s">
        <v>116</v>
      </c>
      <c r="P951" s="176">
        <v>30</v>
      </c>
      <c r="Q951" s="176">
        <v>0</v>
      </c>
      <c r="R951" s="176">
        <f t="shared" si="282"/>
        <v>0</v>
      </c>
      <c r="S951" s="156"/>
      <c r="T951" s="176" t="s">
        <v>116</v>
      </c>
      <c r="U951" s="182">
        <f t="shared" si="283"/>
        <v>0</v>
      </c>
      <c r="V951" s="178"/>
      <c r="W951" s="182">
        <f t="shared" si="278"/>
        <v>0</v>
      </c>
      <c r="X951" s="178"/>
      <c r="Y951" s="182">
        <f t="shared" si="279"/>
        <v>0</v>
      </c>
      <c r="Z951" s="183"/>
      <c r="AA951" s="150"/>
      <c r="AB951" s="150"/>
      <c r="AC951" s="150"/>
    </row>
    <row r="952" spans="1:29" ht="18.75" customHeight="1" x14ac:dyDescent="0.25">
      <c r="A952" s="163"/>
      <c r="B952" s="149"/>
      <c r="C952" s="149"/>
      <c r="D952" s="149"/>
      <c r="E952" s="149"/>
      <c r="F952" s="149"/>
      <c r="G952" s="149"/>
      <c r="H952" s="149"/>
      <c r="I952" s="530"/>
      <c r="J952" s="531"/>
      <c r="K952" s="151"/>
      <c r="L952" s="186"/>
      <c r="M952" s="158"/>
      <c r="N952" s="175"/>
      <c r="O952" s="176" t="s">
        <v>117</v>
      </c>
      <c r="P952" s="176"/>
      <c r="Q952" s="176"/>
      <c r="R952" s="176" t="str">
        <f t="shared" si="282"/>
        <v/>
      </c>
      <c r="S952" s="156"/>
      <c r="T952" s="176" t="s">
        <v>117</v>
      </c>
      <c r="U952" s="182" t="str">
        <f>IF($J$1="October",Y951,"")</f>
        <v/>
      </c>
      <c r="V952" s="178"/>
      <c r="W952" s="182" t="str">
        <f t="shared" si="278"/>
        <v/>
      </c>
      <c r="X952" s="178"/>
      <c r="Y952" s="182" t="str">
        <f t="shared" si="279"/>
        <v/>
      </c>
      <c r="Z952" s="183"/>
      <c r="AA952" s="150"/>
      <c r="AB952" s="150"/>
      <c r="AC952" s="150"/>
    </row>
    <row r="953" spans="1:29" ht="18.75" customHeight="1" x14ac:dyDescent="0.3">
      <c r="A953" s="163"/>
      <c r="B953" s="147"/>
      <c r="C953" s="147"/>
      <c r="D953" s="147"/>
      <c r="E953" s="147"/>
      <c r="F953" s="147"/>
      <c r="G953" s="147"/>
      <c r="H953" s="147"/>
      <c r="I953" s="530"/>
      <c r="J953" s="531"/>
      <c r="K953" s="151"/>
      <c r="L953" s="186"/>
      <c r="M953" s="158"/>
      <c r="N953" s="175"/>
      <c r="O953" s="176" t="s">
        <v>118</v>
      </c>
      <c r="P953" s="176"/>
      <c r="Q953" s="176"/>
      <c r="R953" s="176" t="str">
        <f t="shared" si="282"/>
        <v/>
      </c>
      <c r="S953" s="156"/>
      <c r="T953" s="176" t="s">
        <v>118</v>
      </c>
      <c r="U953" s="182" t="str">
        <f>IF($J$1="November",Y952,"")</f>
        <v/>
      </c>
      <c r="V953" s="178"/>
      <c r="W953" s="182" t="str">
        <f t="shared" si="278"/>
        <v/>
      </c>
      <c r="X953" s="178"/>
      <c r="Y953" s="182" t="str">
        <f t="shared" si="279"/>
        <v/>
      </c>
      <c r="Z953" s="183"/>
      <c r="AA953" s="150"/>
      <c r="AB953" s="150"/>
      <c r="AC953" s="150"/>
    </row>
    <row r="954" spans="1:29" ht="18.75" customHeight="1" x14ac:dyDescent="0.3">
      <c r="A954" s="163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86"/>
      <c r="M954" s="158"/>
      <c r="N954" s="175"/>
      <c r="O954" s="176" t="s">
        <v>119</v>
      </c>
      <c r="P954" s="176"/>
      <c r="Q954" s="176"/>
      <c r="R954" s="176" t="str">
        <f t="shared" si="282"/>
        <v/>
      </c>
      <c r="S954" s="156"/>
      <c r="T954" s="176" t="s">
        <v>119</v>
      </c>
      <c r="U954" s="182" t="str">
        <f>IF($J$1="Dec",Y953,"")</f>
        <v/>
      </c>
      <c r="V954" s="178"/>
      <c r="W954" s="182" t="str">
        <f t="shared" si="278"/>
        <v/>
      </c>
      <c r="X954" s="178"/>
      <c r="Y954" s="182" t="str">
        <f t="shared" si="279"/>
        <v/>
      </c>
      <c r="Z954" s="183"/>
      <c r="AA954" s="150"/>
      <c r="AB954" s="150"/>
      <c r="AC954" s="150"/>
    </row>
    <row r="955" spans="1:29" ht="18.75" customHeight="1" thickBot="1" x14ac:dyDescent="0.3">
      <c r="A955" s="197"/>
      <c r="B955" s="213"/>
      <c r="C955" s="213"/>
      <c r="D955" s="213"/>
      <c r="E955" s="213"/>
      <c r="F955" s="213"/>
      <c r="G955" s="213"/>
      <c r="H955" s="213"/>
      <c r="I955" s="213"/>
      <c r="J955" s="213"/>
      <c r="K955" s="213"/>
      <c r="L955" s="199"/>
      <c r="M955" s="158"/>
      <c r="N955" s="214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8"/>
      <c r="AA955" s="150"/>
      <c r="AB955" s="150"/>
      <c r="AC955" s="150"/>
    </row>
    <row r="956" spans="1:29" ht="27.75" customHeight="1" thickBot="1" x14ac:dyDescent="0.35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  <c r="AA956" s="150"/>
      <c r="AB956" s="150"/>
      <c r="AC956" s="150"/>
    </row>
    <row r="957" spans="1:29" ht="27.75" customHeight="1" x14ac:dyDescent="0.25">
      <c r="A957" s="540" t="s">
        <v>87</v>
      </c>
      <c r="B957" s="538"/>
      <c r="C957" s="538"/>
      <c r="D957" s="538"/>
      <c r="E957" s="538"/>
      <c r="F957" s="538"/>
      <c r="G957" s="538"/>
      <c r="H957" s="538"/>
      <c r="I957" s="538"/>
      <c r="J957" s="538"/>
      <c r="K957" s="538"/>
      <c r="L957" s="539"/>
      <c r="M957" s="159"/>
      <c r="N957" s="160"/>
      <c r="O957" s="524" t="s">
        <v>88</v>
      </c>
      <c r="P957" s="525"/>
      <c r="Q957" s="525"/>
      <c r="R957" s="526"/>
      <c r="S957" s="161"/>
      <c r="T957" s="524" t="s">
        <v>89</v>
      </c>
      <c r="U957" s="525"/>
      <c r="V957" s="525"/>
      <c r="W957" s="525"/>
      <c r="X957" s="525"/>
      <c r="Y957" s="526"/>
      <c r="Z957" s="162"/>
      <c r="AA957" s="150"/>
      <c r="AB957" s="150"/>
      <c r="AC957" s="150"/>
    </row>
    <row r="958" spans="1:29" ht="27.75" customHeight="1" x14ac:dyDescent="0.25">
      <c r="A958" s="163"/>
      <c r="B958" s="149"/>
      <c r="C958" s="535" t="s">
        <v>90</v>
      </c>
      <c r="D958" s="531"/>
      <c r="E958" s="531"/>
      <c r="F958" s="531"/>
      <c r="G958" s="164" t="str">
        <f>$J$1</f>
        <v>September</v>
      </c>
      <c r="H958" s="536">
        <f>$K$1</f>
        <v>2024</v>
      </c>
      <c r="I958" s="531"/>
      <c r="J958" s="149"/>
      <c r="K958" s="165"/>
      <c r="L958" s="166"/>
      <c r="M958" s="167"/>
      <c r="N958" s="168"/>
      <c r="O958" s="169" t="s">
        <v>91</v>
      </c>
      <c r="P958" s="169" t="s">
        <v>92</v>
      </c>
      <c r="Q958" s="169" t="s">
        <v>93</v>
      </c>
      <c r="R958" s="169" t="s">
        <v>94</v>
      </c>
      <c r="S958" s="170"/>
      <c r="T958" s="169" t="s">
        <v>91</v>
      </c>
      <c r="U958" s="169" t="s">
        <v>95</v>
      </c>
      <c r="V958" s="169" t="s">
        <v>9</v>
      </c>
      <c r="W958" s="169" t="s">
        <v>10</v>
      </c>
      <c r="X958" s="169" t="s">
        <v>11</v>
      </c>
      <c r="Y958" s="169" t="s">
        <v>96</v>
      </c>
      <c r="Z958" s="171"/>
      <c r="AA958" s="150"/>
      <c r="AB958" s="150"/>
      <c r="AC958" s="150"/>
    </row>
    <row r="959" spans="1:29" ht="18.75" customHeight="1" x14ac:dyDescent="0.25">
      <c r="A959" s="163"/>
      <c r="B959" s="149"/>
      <c r="C959" s="149"/>
      <c r="D959" s="172"/>
      <c r="E959" s="172"/>
      <c r="F959" s="172"/>
      <c r="G959" s="172"/>
      <c r="H959" s="172"/>
      <c r="I959" s="149"/>
      <c r="J959" s="173" t="s">
        <v>97</v>
      </c>
      <c r="K959" s="151">
        <v>30000</v>
      </c>
      <c r="L959" s="174"/>
      <c r="M959" s="158"/>
      <c r="N959" s="175"/>
      <c r="O959" s="176" t="s">
        <v>98</v>
      </c>
      <c r="P959" s="176"/>
      <c r="Q959" s="176"/>
      <c r="R959" s="176"/>
      <c r="S959" s="177"/>
      <c r="T959" s="176" t="s">
        <v>98</v>
      </c>
      <c r="U959" s="178"/>
      <c r="V959" s="178"/>
      <c r="W959" s="178">
        <f>V959+U959</f>
        <v>0</v>
      </c>
      <c r="X959" s="178"/>
      <c r="Y959" s="178">
        <f>W959-X959</f>
        <v>0</v>
      </c>
      <c r="Z959" s="171"/>
      <c r="AA959" s="150"/>
      <c r="AB959" s="150"/>
      <c r="AC959" s="150"/>
    </row>
    <row r="960" spans="1:29" ht="18.75" customHeight="1" x14ac:dyDescent="0.25">
      <c r="A960" s="163"/>
      <c r="B960" s="149" t="s">
        <v>99</v>
      </c>
      <c r="C960" s="148" t="s">
        <v>338</v>
      </c>
      <c r="D960" s="149"/>
      <c r="E960" s="149"/>
      <c r="F960" s="149"/>
      <c r="G960" s="149"/>
      <c r="H960" s="179"/>
      <c r="I960" s="172"/>
      <c r="J960" s="149"/>
      <c r="K960" s="149"/>
      <c r="L960" s="180"/>
      <c r="M960" s="159"/>
      <c r="N960" s="181"/>
      <c r="O960" s="176" t="s">
        <v>100</v>
      </c>
      <c r="P960" s="176"/>
      <c r="Q960" s="176"/>
      <c r="R960" s="176" t="str">
        <f t="shared" ref="R960:R961" si="284">IF(Q960="","",R959-Q960)</f>
        <v/>
      </c>
      <c r="S960" s="156"/>
      <c r="T960" s="176" t="s">
        <v>100</v>
      </c>
      <c r="U960" s="182">
        <f>Y959</f>
        <v>0</v>
      </c>
      <c r="V960" s="178"/>
      <c r="W960" s="182">
        <f t="shared" ref="W960:W970" si="285">IF(U960="","",U960+V960)</f>
        <v>0</v>
      </c>
      <c r="X960" s="178"/>
      <c r="Y960" s="182">
        <f t="shared" ref="Y960:Y970" si="286">IF(W960="","",W960-X960)</f>
        <v>0</v>
      </c>
      <c r="Z960" s="183"/>
      <c r="AA960" s="150"/>
      <c r="AB960" s="150"/>
      <c r="AC960" s="150"/>
    </row>
    <row r="961" spans="1:29" ht="18.75" customHeight="1" x14ac:dyDescent="0.25">
      <c r="A961" s="163"/>
      <c r="B961" s="184" t="s">
        <v>101</v>
      </c>
      <c r="C961" s="210"/>
      <c r="D961" s="149"/>
      <c r="E961" s="149"/>
      <c r="F961" s="529" t="s">
        <v>89</v>
      </c>
      <c r="G961" s="503"/>
      <c r="H961" s="149"/>
      <c r="I961" s="529" t="s">
        <v>102</v>
      </c>
      <c r="J961" s="502"/>
      <c r="K961" s="503"/>
      <c r="L961" s="186"/>
      <c r="M961" s="158"/>
      <c r="N961" s="175"/>
      <c r="O961" s="176" t="s">
        <v>103</v>
      </c>
      <c r="P961" s="176"/>
      <c r="Q961" s="176"/>
      <c r="R961" s="176" t="str">
        <f t="shared" si="284"/>
        <v/>
      </c>
      <c r="S961" s="156"/>
      <c r="T961" s="176" t="s">
        <v>103</v>
      </c>
      <c r="U961" s="182">
        <f t="shared" ref="U961:U962" si="287">IF($J$1="April",Y960,Y960)</f>
        <v>0</v>
      </c>
      <c r="V961" s="178"/>
      <c r="W961" s="182">
        <f t="shared" si="285"/>
        <v>0</v>
      </c>
      <c r="X961" s="178"/>
      <c r="Y961" s="182">
        <f t="shared" si="286"/>
        <v>0</v>
      </c>
      <c r="Z961" s="183"/>
      <c r="AA961" s="150"/>
      <c r="AB961" s="150"/>
      <c r="AC961" s="150"/>
    </row>
    <row r="962" spans="1:29" ht="18.75" customHeight="1" x14ac:dyDescent="0.25">
      <c r="A962" s="163"/>
      <c r="B962" s="149"/>
      <c r="C962" s="149"/>
      <c r="D962" s="149"/>
      <c r="E962" s="149"/>
      <c r="F962" s="149"/>
      <c r="G962" s="149"/>
      <c r="H962" s="187"/>
      <c r="I962" s="149"/>
      <c r="J962" s="149"/>
      <c r="K962" s="149"/>
      <c r="L962" s="188"/>
      <c r="M962" s="158"/>
      <c r="N962" s="175"/>
      <c r="O962" s="176" t="s">
        <v>104</v>
      </c>
      <c r="P962" s="176"/>
      <c r="Q962" s="176"/>
      <c r="R962" s="176">
        <v>0</v>
      </c>
      <c r="S962" s="156"/>
      <c r="T962" s="176" t="s">
        <v>104</v>
      </c>
      <c r="U962" s="182">
        <f t="shared" si="287"/>
        <v>0</v>
      </c>
      <c r="V962" s="178"/>
      <c r="W962" s="182">
        <f t="shared" si="285"/>
        <v>0</v>
      </c>
      <c r="X962" s="178"/>
      <c r="Y962" s="182">
        <f t="shared" si="286"/>
        <v>0</v>
      </c>
      <c r="Z962" s="183"/>
      <c r="AA962" s="150"/>
      <c r="AB962" s="150"/>
      <c r="AC962" s="150"/>
    </row>
    <row r="963" spans="1:29" ht="18.75" customHeight="1" x14ac:dyDescent="0.25">
      <c r="A963" s="163"/>
      <c r="B963" s="527" t="s">
        <v>88</v>
      </c>
      <c r="C963" s="503"/>
      <c r="D963" s="149"/>
      <c r="E963" s="149"/>
      <c r="F963" s="189" t="s">
        <v>105</v>
      </c>
      <c r="G963" s="190">
        <f>IF($J$1="January",U959,IF($J$1="February",U960,IF($J$1="March",U961,IF($J$1="April",U962,IF($J$1="May",U963,IF($J$1="June",U964,IF($J$1="July",U965,IF($J$1="August",U966,IF($J$1="August",U966,IF($J$1="September",U967,IF($J$1="October",U968,IF($J$1="November",U969,IF($J$1="December",U970)))))))))))))</f>
        <v>0</v>
      </c>
      <c r="H963" s="187"/>
      <c r="I963" s="191">
        <f>IF(C967&gt;0,$K$2,C965)</f>
        <v>10</v>
      </c>
      <c r="J963" s="192" t="s">
        <v>106</v>
      </c>
      <c r="K963" s="193">
        <f>K959/$K$2*I963</f>
        <v>10000</v>
      </c>
      <c r="L963" s="194"/>
      <c r="M963" s="158"/>
      <c r="N963" s="175"/>
      <c r="O963" s="176" t="s">
        <v>107</v>
      </c>
      <c r="P963" s="176"/>
      <c r="Q963" s="176"/>
      <c r="R963" s="176">
        <v>0</v>
      </c>
      <c r="S963" s="156"/>
      <c r="T963" s="176" t="s">
        <v>107</v>
      </c>
      <c r="U963" s="182">
        <f t="shared" ref="U963:U964" si="288">IF($J$1="May",Y962,Y962)</f>
        <v>0</v>
      </c>
      <c r="V963" s="178"/>
      <c r="W963" s="182">
        <f t="shared" si="285"/>
        <v>0</v>
      </c>
      <c r="X963" s="178"/>
      <c r="Y963" s="182">
        <f t="shared" si="286"/>
        <v>0</v>
      </c>
      <c r="Z963" s="183"/>
      <c r="AA963" s="150"/>
      <c r="AB963" s="150"/>
      <c r="AC963" s="150"/>
    </row>
    <row r="964" spans="1:29" ht="18.75" customHeight="1" x14ac:dyDescent="0.25">
      <c r="A964" s="163"/>
      <c r="B964" s="195"/>
      <c r="C964" s="195"/>
      <c r="D964" s="149"/>
      <c r="E964" s="149"/>
      <c r="F964" s="189" t="s">
        <v>9</v>
      </c>
      <c r="G964" s="190">
        <f>IF($J$1="January",V959,IF($J$1="February",V960,IF($J$1="March",V961,IF($J$1="April",V962,IF($J$1="May",V963,IF($J$1="June",V964,IF($J$1="July",V965,IF($J$1="August",V966,IF($J$1="August",V966,IF($J$1="September",V967,IF($J$1="October",V968,IF($J$1="November",V969,IF($J$1="December",V970)))))))))))))</f>
        <v>0</v>
      </c>
      <c r="H964" s="187"/>
      <c r="I964" s="211"/>
      <c r="J964" s="192" t="s">
        <v>108</v>
      </c>
      <c r="K964" s="190">
        <f>K959/$K$2/8*I964</f>
        <v>0</v>
      </c>
      <c r="L964" s="196"/>
      <c r="M964" s="158"/>
      <c r="N964" s="175"/>
      <c r="O964" s="176" t="s">
        <v>84</v>
      </c>
      <c r="P964" s="176"/>
      <c r="Q964" s="176"/>
      <c r="R964" s="176">
        <v>0</v>
      </c>
      <c r="S964" s="156"/>
      <c r="T964" s="176" t="s">
        <v>84</v>
      </c>
      <c r="U964" s="182">
        <f t="shared" si="288"/>
        <v>0</v>
      </c>
      <c r="V964" s="178"/>
      <c r="W964" s="182">
        <f t="shared" si="285"/>
        <v>0</v>
      </c>
      <c r="X964" s="178"/>
      <c r="Y964" s="182">
        <f t="shared" si="286"/>
        <v>0</v>
      </c>
      <c r="Z964" s="183"/>
      <c r="AA964" s="150"/>
      <c r="AB964" s="150"/>
      <c r="AC964" s="150"/>
    </row>
    <row r="965" spans="1:29" ht="18.75" customHeight="1" x14ac:dyDescent="0.25">
      <c r="A965" s="163"/>
      <c r="B965" s="189" t="s">
        <v>92</v>
      </c>
      <c r="C965" s="195">
        <f>IF($J$1="January",P959,IF($J$1="February",P960,IF($J$1="March",P961,IF($J$1="April",P962,IF($J$1="May",P963,IF($J$1="June",P964,IF($J$1="July",P965,IF($J$1="August",P966,IF($J$1="August",P966,IF($J$1="September",P967,IF($J$1="October",P968,IF($J$1="November",P969,IF($J$1="December",P970)))))))))))))</f>
        <v>10</v>
      </c>
      <c r="D965" s="149"/>
      <c r="E965" s="149"/>
      <c r="F965" s="189" t="s">
        <v>109</v>
      </c>
      <c r="G965" s="190">
        <f>IF($J$1="January",W959,IF($J$1="February",W960,IF($J$1="March",W961,IF($J$1="April",W962,IF($J$1="May",W963,IF($J$1="June",W964,IF($J$1="July",W965,IF($J$1="August",W966,IF($J$1="August",W966,IF($J$1="September",W967,IF($J$1="October",W968,IF($J$1="November",W969,IF($J$1="December",W970)))))))))))))</f>
        <v>0</v>
      </c>
      <c r="H965" s="187"/>
      <c r="I965" s="528" t="s">
        <v>110</v>
      </c>
      <c r="J965" s="503"/>
      <c r="K965" s="190">
        <f>K963+K964</f>
        <v>10000</v>
      </c>
      <c r="L965" s="196"/>
      <c r="M965" s="158"/>
      <c r="N965" s="175"/>
      <c r="O965" s="176" t="s">
        <v>111</v>
      </c>
      <c r="P965" s="176"/>
      <c r="Q965" s="176"/>
      <c r="R965" s="176">
        <v>0</v>
      </c>
      <c r="S965" s="156"/>
      <c r="T965" s="176" t="s">
        <v>111</v>
      </c>
      <c r="U965" s="182">
        <f>Y964</f>
        <v>0</v>
      </c>
      <c r="V965" s="178"/>
      <c r="W965" s="182">
        <f t="shared" si="285"/>
        <v>0</v>
      </c>
      <c r="X965" s="178"/>
      <c r="Y965" s="182">
        <f t="shared" si="286"/>
        <v>0</v>
      </c>
      <c r="Z965" s="183"/>
      <c r="AA965" s="150"/>
      <c r="AB965" s="150"/>
      <c r="AC965" s="150"/>
    </row>
    <row r="966" spans="1:29" ht="18.75" customHeight="1" x14ac:dyDescent="0.25">
      <c r="A966" s="163"/>
      <c r="B966" s="189" t="s">
        <v>93</v>
      </c>
      <c r="C966" s="195">
        <f>IF($J$1="January",Q959,IF($J$1="February",Q960,IF($J$1="March",Q961,IF($J$1="April",Q962,IF($J$1="May",Q963,IF($J$1="June",Q964,IF($J$1="July",Q965,IF($J$1="August",Q966,IF($J$1="August",Q966,IF($J$1="September",Q967,IF($J$1="October",Q968,IF($J$1="November",Q969,IF($J$1="December",Q970)))))))))))))</f>
        <v>20</v>
      </c>
      <c r="D966" s="149"/>
      <c r="E966" s="149"/>
      <c r="F966" s="189" t="s">
        <v>11</v>
      </c>
      <c r="G966" s="190">
        <f>IF($J$1="January",X959,IF($J$1="February",X960,IF($J$1="March",X961,IF($J$1="April",X962,IF($J$1="May",X963,IF($J$1="June",X964,IF($J$1="July",X965,IF($J$1="August",X966,IF($J$1="August",X966,IF($J$1="September",X967,IF($J$1="October",X968,IF($J$1="November",X969,IF($J$1="December",X970)))))))))))))</f>
        <v>0</v>
      </c>
      <c r="H966" s="187"/>
      <c r="I966" s="528" t="s">
        <v>112</v>
      </c>
      <c r="J966" s="503"/>
      <c r="K966" s="190">
        <f>G966</f>
        <v>0</v>
      </c>
      <c r="L966" s="196"/>
      <c r="M966" s="158"/>
      <c r="N966" s="175"/>
      <c r="O966" s="176" t="s">
        <v>113</v>
      </c>
      <c r="P966" s="176"/>
      <c r="Q966" s="176"/>
      <c r="R966" s="176">
        <v>0</v>
      </c>
      <c r="S966" s="156"/>
      <c r="T966" s="176" t="s">
        <v>113</v>
      </c>
      <c r="U966" s="182">
        <f t="shared" ref="U966:U967" si="289">IF($J$1="September",Y965,"")</f>
        <v>0</v>
      </c>
      <c r="V966" s="178"/>
      <c r="W966" s="182">
        <f t="shared" si="285"/>
        <v>0</v>
      </c>
      <c r="X966" s="178"/>
      <c r="Y966" s="182">
        <f t="shared" si="286"/>
        <v>0</v>
      </c>
      <c r="Z966" s="183"/>
      <c r="AA966" s="150"/>
      <c r="AB966" s="150"/>
      <c r="AC966" s="150"/>
    </row>
    <row r="967" spans="1:29" ht="18.75" customHeight="1" x14ac:dyDescent="0.25">
      <c r="A967" s="163"/>
      <c r="B967" s="212" t="s">
        <v>114</v>
      </c>
      <c r="C967" s="195">
        <f>IF($J$1="January",R959,IF($J$1="February",R960,IF($J$1="March",R961,IF($J$1="April",R962,IF($J$1="May",R963,IF($J$1="June",R964,IF($J$1="July",R965,IF($J$1="August",R966,IF($J$1="August",R966,IF($J$1="September",R967,IF($J$1="October",R968,IF($J$1="November",R969,IF($J$1="December",R970)))))))))))))</f>
        <v>-20</v>
      </c>
      <c r="D967" s="149"/>
      <c r="E967" s="149"/>
      <c r="F967" s="189" t="s">
        <v>167</v>
      </c>
      <c r="G967" s="190">
        <f>IF($J$1="January",Y959,IF($J$1="February",Y960,IF($J$1="March",Y961,IF($J$1="April",Y962,IF($J$1="May",Y963,IF($J$1="June",Y964,IF($J$1="July",Y965,IF($J$1="August",Y966,IF($J$1="August",Y966,IF($J$1="September",Y967,IF($J$1="October",Y968,IF($J$1="November",Y969,IF($J$1="December",Y970)))))))))))))</f>
        <v>0</v>
      </c>
      <c r="H967" s="149"/>
      <c r="I967" s="529" t="s">
        <v>13</v>
      </c>
      <c r="J967" s="503"/>
      <c r="K967" s="37">
        <f>K965-K966</f>
        <v>10000</v>
      </c>
      <c r="L967" s="180"/>
      <c r="M967" s="158"/>
      <c r="N967" s="175"/>
      <c r="O967" s="176" t="s">
        <v>116</v>
      </c>
      <c r="P967" s="176">
        <v>10</v>
      </c>
      <c r="Q967" s="176">
        <v>20</v>
      </c>
      <c r="R967" s="176">
        <f t="shared" ref="R967:R970" si="290">IF(Q967="","",R966-Q967)</f>
        <v>-20</v>
      </c>
      <c r="S967" s="156"/>
      <c r="T967" s="176" t="s">
        <v>116</v>
      </c>
      <c r="U967" s="182">
        <f t="shared" si="289"/>
        <v>0</v>
      </c>
      <c r="V967" s="178"/>
      <c r="W967" s="182">
        <f t="shared" si="285"/>
        <v>0</v>
      </c>
      <c r="X967" s="178"/>
      <c r="Y967" s="182">
        <f t="shared" si="286"/>
        <v>0</v>
      </c>
      <c r="Z967" s="183"/>
      <c r="AA967" s="150"/>
      <c r="AB967" s="150"/>
      <c r="AC967" s="150"/>
    </row>
    <row r="968" spans="1:29" ht="18.75" customHeight="1" x14ac:dyDescent="0.25">
      <c r="A968" s="163"/>
      <c r="B968" s="149"/>
      <c r="C968" s="149"/>
      <c r="D968" s="149"/>
      <c r="E968" s="149"/>
      <c r="F968" s="149"/>
      <c r="G968" s="149"/>
      <c r="H968" s="149"/>
      <c r="I968" s="530"/>
      <c r="J968" s="531"/>
      <c r="K968" s="151"/>
      <c r="L968" s="186"/>
      <c r="M968" s="158"/>
      <c r="N968" s="175"/>
      <c r="O968" s="176" t="s">
        <v>117</v>
      </c>
      <c r="P968" s="176"/>
      <c r="Q968" s="176"/>
      <c r="R968" s="176" t="str">
        <f t="shared" si="290"/>
        <v/>
      </c>
      <c r="S968" s="156"/>
      <c r="T968" s="176" t="s">
        <v>117</v>
      </c>
      <c r="U968" s="182" t="str">
        <f>IF($J$1="October",Y967,"")</f>
        <v/>
      </c>
      <c r="V968" s="178"/>
      <c r="W968" s="182" t="str">
        <f t="shared" si="285"/>
        <v/>
      </c>
      <c r="X968" s="178"/>
      <c r="Y968" s="182" t="str">
        <f t="shared" si="286"/>
        <v/>
      </c>
      <c r="Z968" s="183"/>
      <c r="AA968" s="150"/>
      <c r="AB968" s="150"/>
      <c r="AC968" s="150"/>
    </row>
    <row r="969" spans="1:29" ht="18.75" customHeight="1" x14ac:dyDescent="0.3">
      <c r="A969" s="163"/>
      <c r="B969" s="147"/>
      <c r="C969" s="147"/>
      <c r="D969" s="147"/>
      <c r="E969" s="147"/>
      <c r="F969" s="147"/>
      <c r="G969" s="147"/>
      <c r="H969" s="147"/>
      <c r="I969" s="530"/>
      <c r="J969" s="531"/>
      <c r="K969" s="151"/>
      <c r="L969" s="186"/>
      <c r="M969" s="158"/>
      <c r="N969" s="175"/>
      <c r="O969" s="176" t="s">
        <v>118</v>
      </c>
      <c r="P969" s="176"/>
      <c r="Q969" s="176"/>
      <c r="R969" s="176" t="str">
        <f t="shared" si="290"/>
        <v/>
      </c>
      <c r="S969" s="156"/>
      <c r="T969" s="176" t="s">
        <v>118</v>
      </c>
      <c r="U969" s="182" t="str">
        <f>IF($J$1="November",Y968,"")</f>
        <v/>
      </c>
      <c r="V969" s="178"/>
      <c r="W969" s="182" t="str">
        <f t="shared" si="285"/>
        <v/>
      </c>
      <c r="X969" s="178"/>
      <c r="Y969" s="182" t="str">
        <f t="shared" si="286"/>
        <v/>
      </c>
      <c r="Z969" s="183"/>
      <c r="AA969" s="150"/>
      <c r="AB969" s="150"/>
      <c r="AC969" s="150"/>
    </row>
    <row r="970" spans="1:29" ht="18.75" customHeight="1" x14ac:dyDescent="0.3">
      <c r="A970" s="163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86"/>
      <c r="M970" s="158"/>
      <c r="N970" s="175"/>
      <c r="O970" s="176" t="s">
        <v>119</v>
      </c>
      <c r="P970" s="176"/>
      <c r="Q970" s="176"/>
      <c r="R970" s="176" t="str">
        <f t="shared" si="290"/>
        <v/>
      </c>
      <c r="S970" s="156"/>
      <c r="T970" s="176" t="s">
        <v>119</v>
      </c>
      <c r="U970" s="182" t="str">
        <f>IF($J$1="Dec",Y969,"")</f>
        <v/>
      </c>
      <c r="V970" s="178"/>
      <c r="W970" s="182" t="str">
        <f t="shared" si="285"/>
        <v/>
      </c>
      <c r="X970" s="178"/>
      <c r="Y970" s="182" t="str">
        <f t="shared" si="286"/>
        <v/>
      </c>
      <c r="Z970" s="183"/>
      <c r="AA970" s="150"/>
      <c r="AB970" s="150"/>
      <c r="AC970" s="150"/>
    </row>
    <row r="971" spans="1:29" ht="18.75" customHeight="1" thickBot="1" x14ac:dyDescent="0.3">
      <c r="A971" s="197"/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199"/>
      <c r="M971" s="158"/>
      <c r="N971" s="214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8"/>
      <c r="AA971" s="150"/>
      <c r="AB971" s="150"/>
      <c r="AC971" s="150"/>
    </row>
    <row r="972" spans="1:29" ht="27.75" customHeight="1" thickBot="1" x14ac:dyDescent="0.35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  <c r="AA972" s="150"/>
      <c r="AB972" s="150"/>
      <c r="AC972" s="150"/>
    </row>
    <row r="973" spans="1:29" ht="27.75" customHeight="1" x14ac:dyDescent="0.25">
      <c r="A973" s="540" t="s">
        <v>87</v>
      </c>
      <c r="B973" s="538"/>
      <c r="C973" s="538"/>
      <c r="D973" s="538"/>
      <c r="E973" s="538"/>
      <c r="F973" s="538"/>
      <c r="G973" s="538"/>
      <c r="H973" s="538"/>
      <c r="I973" s="538"/>
      <c r="J973" s="538"/>
      <c r="K973" s="538"/>
      <c r="L973" s="539"/>
      <c r="M973" s="159"/>
      <c r="N973" s="160"/>
      <c r="O973" s="524" t="s">
        <v>88</v>
      </c>
      <c r="P973" s="525"/>
      <c r="Q973" s="525"/>
      <c r="R973" s="526"/>
      <c r="S973" s="161"/>
      <c r="T973" s="524" t="s">
        <v>89</v>
      </c>
      <c r="U973" s="525"/>
      <c r="V973" s="525"/>
      <c r="W973" s="525"/>
      <c r="X973" s="525"/>
      <c r="Y973" s="526"/>
      <c r="Z973" s="162"/>
      <c r="AA973" s="150"/>
      <c r="AB973" s="150"/>
      <c r="AC973" s="150"/>
    </row>
    <row r="974" spans="1:29" ht="27.75" customHeight="1" x14ac:dyDescent="0.25">
      <c r="A974" s="163"/>
      <c r="B974" s="149"/>
      <c r="C974" s="535" t="s">
        <v>90</v>
      </c>
      <c r="D974" s="531"/>
      <c r="E974" s="531"/>
      <c r="F974" s="531"/>
      <c r="G974" s="164" t="str">
        <f>$J$1</f>
        <v>September</v>
      </c>
      <c r="H974" s="536">
        <f>$K$1</f>
        <v>2024</v>
      </c>
      <c r="I974" s="531"/>
      <c r="J974" s="149"/>
      <c r="K974" s="165"/>
      <c r="L974" s="166"/>
      <c r="M974" s="167"/>
      <c r="N974" s="168"/>
      <c r="O974" s="169" t="s">
        <v>91</v>
      </c>
      <c r="P974" s="169" t="s">
        <v>92</v>
      </c>
      <c r="Q974" s="169" t="s">
        <v>93</v>
      </c>
      <c r="R974" s="169" t="s">
        <v>94</v>
      </c>
      <c r="S974" s="170"/>
      <c r="T974" s="169" t="s">
        <v>91</v>
      </c>
      <c r="U974" s="169" t="s">
        <v>95</v>
      </c>
      <c r="V974" s="169" t="s">
        <v>9</v>
      </c>
      <c r="W974" s="169" t="s">
        <v>10</v>
      </c>
      <c r="X974" s="169" t="s">
        <v>11</v>
      </c>
      <c r="Y974" s="169" t="s">
        <v>96</v>
      </c>
      <c r="Z974" s="171"/>
      <c r="AA974" s="150"/>
      <c r="AB974" s="150"/>
      <c r="AC974" s="150"/>
    </row>
    <row r="975" spans="1:29" ht="18.75" customHeight="1" x14ac:dyDescent="0.25">
      <c r="A975" s="163"/>
      <c r="B975" s="149"/>
      <c r="C975" s="149"/>
      <c r="D975" s="172"/>
      <c r="E975" s="172"/>
      <c r="F975" s="172"/>
      <c r="G975" s="172"/>
      <c r="H975" s="172"/>
      <c r="I975" s="149"/>
      <c r="J975" s="173" t="s">
        <v>97</v>
      </c>
      <c r="K975" s="151">
        <v>30000</v>
      </c>
      <c r="L975" s="174"/>
      <c r="M975" s="158"/>
      <c r="N975" s="175"/>
      <c r="O975" s="176" t="s">
        <v>98</v>
      </c>
      <c r="P975" s="176"/>
      <c r="Q975" s="176"/>
      <c r="R975" s="176"/>
      <c r="S975" s="177"/>
      <c r="T975" s="176" t="s">
        <v>98</v>
      </c>
      <c r="U975" s="178"/>
      <c r="V975" s="178"/>
      <c r="W975" s="178">
        <f>V975+U975</f>
        <v>0</v>
      </c>
      <c r="X975" s="178"/>
      <c r="Y975" s="178">
        <f>W975-X975</f>
        <v>0</v>
      </c>
      <c r="Z975" s="171"/>
      <c r="AA975" s="150"/>
      <c r="AB975" s="150"/>
      <c r="AC975" s="150"/>
    </row>
    <row r="976" spans="1:29" ht="18.75" customHeight="1" x14ac:dyDescent="0.25">
      <c r="A976" s="163"/>
      <c r="B976" s="149" t="s">
        <v>99</v>
      </c>
      <c r="C976" s="148" t="s">
        <v>335</v>
      </c>
      <c r="D976" s="149"/>
      <c r="E976" s="149"/>
      <c r="F976" s="149"/>
      <c r="G976" s="149"/>
      <c r="H976" s="179"/>
      <c r="I976" s="172"/>
      <c r="J976" s="149"/>
      <c r="K976" s="149"/>
      <c r="L976" s="180"/>
      <c r="M976" s="159"/>
      <c r="N976" s="181"/>
      <c r="O976" s="176" t="s">
        <v>100</v>
      </c>
      <c r="P976" s="176"/>
      <c r="Q976" s="176"/>
      <c r="R976" s="176" t="str">
        <f t="shared" ref="R976:R977" si="291">IF(Q976="","",R975-Q976)</f>
        <v/>
      </c>
      <c r="S976" s="156"/>
      <c r="T976" s="176" t="s">
        <v>100</v>
      </c>
      <c r="U976" s="182">
        <f>Y975</f>
        <v>0</v>
      </c>
      <c r="V976" s="178"/>
      <c r="W976" s="182">
        <f t="shared" ref="W976:W986" si="292">IF(U976="","",U976+V976)</f>
        <v>0</v>
      </c>
      <c r="X976" s="178"/>
      <c r="Y976" s="182">
        <f t="shared" ref="Y976:Y986" si="293">IF(W976="","",W976-X976)</f>
        <v>0</v>
      </c>
      <c r="Z976" s="183"/>
      <c r="AA976" s="150"/>
      <c r="AB976" s="150"/>
      <c r="AC976" s="150"/>
    </row>
    <row r="977" spans="1:29" ht="18.75" customHeight="1" x14ac:dyDescent="0.25">
      <c r="A977" s="163"/>
      <c r="B977" s="184" t="s">
        <v>101</v>
      </c>
      <c r="C977" s="210"/>
      <c r="D977" s="149"/>
      <c r="E977" s="149"/>
      <c r="F977" s="529" t="s">
        <v>89</v>
      </c>
      <c r="G977" s="503"/>
      <c r="H977" s="149"/>
      <c r="I977" s="529" t="s">
        <v>102</v>
      </c>
      <c r="J977" s="502"/>
      <c r="K977" s="503"/>
      <c r="L977" s="186"/>
      <c r="M977" s="158"/>
      <c r="N977" s="175"/>
      <c r="O977" s="176" t="s">
        <v>103</v>
      </c>
      <c r="P977" s="176"/>
      <c r="Q977" s="176"/>
      <c r="R977" s="176" t="str">
        <f t="shared" si="291"/>
        <v/>
      </c>
      <c r="S977" s="156"/>
      <c r="T977" s="176" t="s">
        <v>103</v>
      </c>
      <c r="U977" s="182">
        <f t="shared" ref="U977:U978" si="294">IF($J$1="April",Y976,Y976)</f>
        <v>0</v>
      </c>
      <c r="V977" s="178"/>
      <c r="W977" s="182">
        <f t="shared" si="292"/>
        <v>0</v>
      </c>
      <c r="X977" s="178"/>
      <c r="Y977" s="182">
        <f t="shared" si="293"/>
        <v>0</v>
      </c>
      <c r="Z977" s="183"/>
      <c r="AA977" s="150"/>
      <c r="AB977" s="150"/>
      <c r="AC977" s="150"/>
    </row>
    <row r="978" spans="1:29" ht="18.75" customHeight="1" x14ac:dyDescent="0.25">
      <c r="A978" s="163"/>
      <c r="B978" s="149"/>
      <c r="C978" s="149"/>
      <c r="D978" s="149"/>
      <c r="E978" s="149"/>
      <c r="F978" s="149"/>
      <c r="G978" s="149"/>
      <c r="H978" s="187"/>
      <c r="I978" s="149"/>
      <c r="J978" s="149"/>
      <c r="K978" s="149"/>
      <c r="L978" s="188"/>
      <c r="M978" s="158"/>
      <c r="N978" s="175"/>
      <c r="O978" s="176" t="s">
        <v>104</v>
      </c>
      <c r="P978" s="176"/>
      <c r="Q978" s="176"/>
      <c r="R978" s="176">
        <v>0</v>
      </c>
      <c r="S978" s="156"/>
      <c r="T978" s="176" t="s">
        <v>104</v>
      </c>
      <c r="U978" s="182">
        <f t="shared" si="294"/>
        <v>0</v>
      </c>
      <c r="V978" s="178"/>
      <c r="W978" s="182">
        <f t="shared" si="292"/>
        <v>0</v>
      </c>
      <c r="X978" s="178"/>
      <c r="Y978" s="182">
        <f t="shared" si="293"/>
        <v>0</v>
      </c>
      <c r="Z978" s="183"/>
      <c r="AA978" s="150"/>
      <c r="AB978" s="150"/>
      <c r="AC978" s="150"/>
    </row>
    <row r="979" spans="1:29" ht="18.75" customHeight="1" x14ac:dyDescent="0.25">
      <c r="A979" s="163"/>
      <c r="B979" s="527" t="s">
        <v>88</v>
      </c>
      <c r="C979" s="503"/>
      <c r="D979" s="149"/>
      <c r="E979" s="149"/>
      <c r="F979" s="189" t="s">
        <v>105</v>
      </c>
      <c r="G979" s="190" t="str">
        <f>IF($J$1="January",U975,IF($J$1="February",U976,IF($J$1="March",U977,IF($J$1="April",U978,IF($J$1="May",U979,IF($J$1="June",U980,IF($J$1="July",U981,IF($J$1="August",U982,IF($J$1="August",U982,IF($J$1="September",U983,IF($J$1="October",U984,IF($J$1="November",U985,IF($J$1="December",U986)))))))))))))</f>
        <v/>
      </c>
      <c r="H979" s="187"/>
      <c r="I979" s="191">
        <f>IF(C983&gt;0,$K$2,C981)</f>
        <v>20</v>
      </c>
      <c r="J979" s="192" t="s">
        <v>106</v>
      </c>
      <c r="K979" s="193">
        <f>K975/$K$2*I979</f>
        <v>20000</v>
      </c>
      <c r="L979" s="194"/>
      <c r="M979" s="158"/>
      <c r="N979" s="175"/>
      <c r="O979" s="176" t="s">
        <v>107</v>
      </c>
      <c r="P979" s="176"/>
      <c r="Q979" s="176"/>
      <c r="R979" s="176">
        <v>0</v>
      </c>
      <c r="S979" s="156"/>
      <c r="T979" s="176" t="s">
        <v>107</v>
      </c>
      <c r="U979" s="182">
        <f t="shared" ref="U979:U980" si="295">IF($J$1="May",Y978,Y978)</f>
        <v>0</v>
      </c>
      <c r="V979" s="178"/>
      <c r="W979" s="182">
        <f t="shared" si="292"/>
        <v>0</v>
      </c>
      <c r="X979" s="178"/>
      <c r="Y979" s="182">
        <f t="shared" si="293"/>
        <v>0</v>
      </c>
      <c r="Z979" s="183"/>
      <c r="AA979" s="150"/>
      <c r="AB979" s="150"/>
      <c r="AC979" s="150"/>
    </row>
    <row r="980" spans="1:29" ht="18.75" customHeight="1" x14ac:dyDescent="0.25">
      <c r="A980" s="163"/>
      <c r="B980" s="195"/>
      <c r="C980" s="195"/>
      <c r="D980" s="149"/>
      <c r="E980" s="149"/>
      <c r="F980" s="189" t="s">
        <v>9</v>
      </c>
      <c r="G980" s="190">
        <f>IF($J$1="January",V975,IF($J$1="February",V976,IF($J$1="March",V977,IF($J$1="April",V978,IF($J$1="May",V979,IF($J$1="June",V980,IF($J$1="July",V981,IF($J$1="August",V982,IF($J$1="August",V982,IF($J$1="September",V983,IF($J$1="October",V984,IF($J$1="November",V985,IF($J$1="December",V986)))))))))))))</f>
        <v>3000</v>
      </c>
      <c r="H980" s="187"/>
      <c r="I980" s="211">
        <v>8</v>
      </c>
      <c r="J980" s="192" t="s">
        <v>108</v>
      </c>
      <c r="K980" s="190">
        <f>K975/$K$2/8*I980</f>
        <v>1000</v>
      </c>
      <c r="L980" s="196"/>
      <c r="M980" s="158"/>
      <c r="N980" s="175"/>
      <c r="O980" s="176" t="s">
        <v>84</v>
      </c>
      <c r="P980" s="176"/>
      <c r="Q980" s="176"/>
      <c r="R980" s="176">
        <v>0</v>
      </c>
      <c r="S980" s="156"/>
      <c r="T980" s="176" t="s">
        <v>84</v>
      </c>
      <c r="U980" s="182">
        <f t="shared" si="295"/>
        <v>0</v>
      </c>
      <c r="V980" s="178"/>
      <c r="W980" s="182"/>
      <c r="X980" s="178"/>
      <c r="Y980" s="182" t="str">
        <f t="shared" si="293"/>
        <v/>
      </c>
      <c r="Z980" s="183"/>
      <c r="AA980" s="150"/>
      <c r="AB980" s="150"/>
      <c r="AC980" s="150"/>
    </row>
    <row r="981" spans="1:29" ht="18.75" customHeight="1" x14ac:dyDescent="0.25">
      <c r="A981" s="163"/>
      <c r="B981" s="189" t="s">
        <v>92</v>
      </c>
      <c r="C981" s="195">
        <f>IF($J$1="January",P975,IF($J$1="February",P976,IF($J$1="March",P977,IF($J$1="April",P978,IF($J$1="May",P979,IF($J$1="June",P980,IF($J$1="July",P981,IF($J$1="August",P982,IF($J$1="August",P982,IF($J$1="September",P983,IF($J$1="October",P984,IF($J$1="November",P985,IF($J$1="December",P986)))))))))))))</f>
        <v>20</v>
      </c>
      <c r="D981" s="149"/>
      <c r="E981" s="149"/>
      <c r="F981" s="189" t="s">
        <v>109</v>
      </c>
      <c r="G981" s="190">
        <f>IF($J$1="January",W975,IF($J$1="February",W976,IF($J$1="March",W977,IF($J$1="April",W978,IF($J$1="May",W979,IF($J$1="June",W980,IF($J$1="July",W981,IF($J$1="August",W982,IF($J$1="August",W982,IF($J$1="September",W983,IF($J$1="October",W984,IF($J$1="November",W985,IF($J$1="December",W986)))))))))))))</f>
        <v>3000</v>
      </c>
      <c r="H981" s="187"/>
      <c r="I981" s="528" t="s">
        <v>110</v>
      </c>
      <c r="J981" s="503"/>
      <c r="K981" s="190">
        <f>K979+K980</f>
        <v>21000</v>
      </c>
      <c r="L981" s="196"/>
      <c r="M981" s="158"/>
      <c r="N981" s="175"/>
      <c r="O981" s="176" t="s">
        <v>111</v>
      </c>
      <c r="P981" s="176"/>
      <c r="Q981" s="176"/>
      <c r="R981" s="176">
        <v>0</v>
      </c>
      <c r="S981" s="156"/>
      <c r="T981" s="176" t="s">
        <v>111</v>
      </c>
      <c r="U981" s="182" t="str">
        <f>Y980</f>
        <v/>
      </c>
      <c r="V981" s="178"/>
      <c r="W981" s="182" t="str">
        <f t="shared" ref="W981:W982" si="296">IF(U981="","",U981+V981)</f>
        <v/>
      </c>
      <c r="X981" s="178"/>
      <c r="Y981" s="182" t="str">
        <f t="shared" si="293"/>
        <v/>
      </c>
      <c r="Z981" s="183"/>
      <c r="AA981" s="150"/>
      <c r="AB981" s="150"/>
      <c r="AC981" s="150"/>
    </row>
    <row r="982" spans="1:29" ht="18.75" customHeight="1" x14ac:dyDescent="0.25">
      <c r="A982" s="163"/>
      <c r="B982" s="189" t="s">
        <v>93</v>
      </c>
      <c r="C982" s="195">
        <f>IF($J$1="January",Q975,IF($J$1="February",Q976,IF($J$1="March",Q977,IF($J$1="April",Q978,IF($J$1="May",Q979,IF($J$1="June",Q980,IF($J$1="July",Q981,IF($J$1="August",Q982,IF($J$1="August",Q982,IF($J$1="September",Q983,IF($J$1="October",Q984,IF($J$1="November",Q985,IF($J$1="December",Q986)))))))))))))</f>
        <v>10</v>
      </c>
      <c r="D982" s="149"/>
      <c r="E982" s="149"/>
      <c r="F982" s="189" t="s">
        <v>11</v>
      </c>
      <c r="G982" s="190">
        <f>IF($J$1="January",X975,IF($J$1="February",X976,IF($J$1="March",X977,IF($J$1="April",X978,IF($J$1="May",X979,IF($J$1="June",X980,IF($J$1="July",X981,IF($J$1="August",X982,IF($J$1="August",X982,IF($J$1="September",X983,IF($J$1="October",X984,IF($J$1="November",X985,IF($J$1="December",X986)))))))))))))</f>
        <v>0</v>
      </c>
      <c r="H982" s="187"/>
      <c r="I982" s="528" t="s">
        <v>112</v>
      </c>
      <c r="J982" s="503"/>
      <c r="K982" s="190">
        <f>G982</f>
        <v>0</v>
      </c>
      <c r="L982" s="196"/>
      <c r="M982" s="158"/>
      <c r="N982" s="175"/>
      <c r="O982" s="176" t="s">
        <v>113</v>
      </c>
      <c r="P982" s="176"/>
      <c r="Q982" s="176"/>
      <c r="R982" s="176">
        <v>0</v>
      </c>
      <c r="S982" s="156"/>
      <c r="T982" s="176" t="s">
        <v>113</v>
      </c>
      <c r="U982" s="182" t="str">
        <f t="shared" ref="U982:U983" si="297">IF($J$1="September",Y981,"")</f>
        <v/>
      </c>
      <c r="V982" s="178"/>
      <c r="W982" s="182" t="str">
        <f t="shared" si="296"/>
        <v/>
      </c>
      <c r="X982" s="178"/>
      <c r="Y982" s="182" t="str">
        <f t="shared" si="293"/>
        <v/>
      </c>
      <c r="Z982" s="183"/>
      <c r="AA982" s="150"/>
      <c r="AB982" s="150"/>
      <c r="AC982" s="150"/>
    </row>
    <row r="983" spans="1:29" ht="18.75" customHeight="1" x14ac:dyDescent="0.25">
      <c r="A983" s="163"/>
      <c r="B983" s="212" t="s">
        <v>114</v>
      </c>
      <c r="C983" s="195">
        <f>IF($J$1="January",R975,IF($J$1="February",R976,IF($J$1="March",R977,IF($J$1="April",R978,IF($J$1="May",R979,IF($J$1="June",R980,IF($J$1="July",R981,IF($J$1="August",R982,IF($J$1="August",R982,IF($J$1="September",R983,IF($J$1="October",R984,IF($J$1="November",R985,IF($J$1="December",R986)))))))))))))</f>
        <v>-10</v>
      </c>
      <c r="D983" s="149"/>
      <c r="E983" s="149"/>
      <c r="F983" s="189" t="s">
        <v>167</v>
      </c>
      <c r="G983" s="190">
        <f>IF($J$1="January",Y975,IF($J$1="February",Y976,IF($J$1="March",Y977,IF($J$1="April",Y978,IF($J$1="May",Y979,IF($J$1="June",Y980,IF($J$1="July",Y981,IF($J$1="August",Y982,IF($J$1="August",Y982,IF($J$1="September",Y983,IF($J$1="October",Y984,IF($J$1="November",Y985,IF($J$1="December",Y986)))))))))))))</f>
        <v>3000</v>
      </c>
      <c r="H983" s="149"/>
      <c r="I983" s="529" t="s">
        <v>13</v>
      </c>
      <c r="J983" s="503"/>
      <c r="K983" s="37">
        <f>K981-K982</f>
        <v>21000</v>
      </c>
      <c r="L983" s="180"/>
      <c r="M983" s="158"/>
      <c r="N983" s="175"/>
      <c r="O983" s="176" t="s">
        <v>116</v>
      </c>
      <c r="P983" s="176">
        <v>20</v>
      </c>
      <c r="Q983" s="176">
        <v>10</v>
      </c>
      <c r="R983" s="176">
        <f t="shared" ref="R983:R986" si="298">IF(Q983="","",R982-Q983)</f>
        <v>-10</v>
      </c>
      <c r="S983" s="156"/>
      <c r="T983" s="176" t="s">
        <v>116</v>
      </c>
      <c r="U983" s="182" t="str">
        <f t="shared" si="297"/>
        <v/>
      </c>
      <c r="V983" s="178">
        <v>3000</v>
      </c>
      <c r="W983" s="182">
        <f>V983</f>
        <v>3000</v>
      </c>
      <c r="X983" s="178"/>
      <c r="Y983" s="182">
        <f t="shared" si="293"/>
        <v>3000</v>
      </c>
      <c r="Z983" s="183"/>
      <c r="AA983" s="150"/>
      <c r="AB983" s="150"/>
      <c r="AC983" s="150"/>
    </row>
    <row r="984" spans="1:29" ht="18.75" customHeight="1" x14ac:dyDescent="0.25">
      <c r="A984" s="163"/>
      <c r="B984" s="149"/>
      <c r="C984" s="149"/>
      <c r="D984" s="149"/>
      <c r="E984" s="149"/>
      <c r="F984" s="149"/>
      <c r="G984" s="149"/>
      <c r="H984" s="149"/>
      <c r="I984" s="530"/>
      <c r="J984" s="531"/>
      <c r="K984" s="151"/>
      <c r="L984" s="186"/>
      <c r="M984" s="158"/>
      <c r="N984" s="175"/>
      <c r="O984" s="176" t="s">
        <v>117</v>
      </c>
      <c r="P984" s="176"/>
      <c r="Q984" s="176"/>
      <c r="R984" s="176" t="str">
        <f t="shared" si="298"/>
        <v/>
      </c>
      <c r="S984" s="156"/>
      <c r="T984" s="176" t="s">
        <v>117</v>
      </c>
      <c r="U984" s="182" t="str">
        <f>IF($J$1="October",Y983,"")</f>
        <v/>
      </c>
      <c r="V984" s="178"/>
      <c r="W984" s="182" t="str">
        <f t="shared" si="292"/>
        <v/>
      </c>
      <c r="X984" s="178">
        <v>3000</v>
      </c>
      <c r="Y984" s="182" t="str">
        <f t="shared" si="293"/>
        <v/>
      </c>
      <c r="Z984" s="183"/>
      <c r="AA984" s="150"/>
      <c r="AB984" s="150"/>
      <c r="AC984" s="150"/>
    </row>
    <row r="985" spans="1:29" ht="18.75" customHeight="1" x14ac:dyDescent="0.3">
      <c r="A985" s="163"/>
      <c r="B985" s="147"/>
      <c r="C985" s="147"/>
      <c r="D985" s="147"/>
      <c r="E985" s="147"/>
      <c r="F985" s="147"/>
      <c r="G985" s="147"/>
      <c r="H985" s="147"/>
      <c r="I985" s="530"/>
      <c r="J985" s="531"/>
      <c r="K985" s="151"/>
      <c r="L985" s="186"/>
      <c r="M985" s="158"/>
      <c r="N985" s="175"/>
      <c r="O985" s="176" t="s">
        <v>118</v>
      </c>
      <c r="P985" s="176"/>
      <c r="Q985" s="176"/>
      <c r="R985" s="176" t="str">
        <f t="shared" si="298"/>
        <v/>
      </c>
      <c r="S985" s="156"/>
      <c r="T985" s="176" t="s">
        <v>118</v>
      </c>
      <c r="U985" s="182" t="str">
        <f>IF($J$1="November",Y984,"")</f>
        <v/>
      </c>
      <c r="V985" s="178"/>
      <c r="W985" s="182" t="str">
        <f t="shared" si="292"/>
        <v/>
      </c>
      <c r="X985" s="178"/>
      <c r="Y985" s="182" t="str">
        <f t="shared" si="293"/>
        <v/>
      </c>
      <c r="Z985" s="183"/>
      <c r="AA985" s="150"/>
      <c r="AB985" s="150"/>
      <c r="AC985" s="150"/>
    </row>
    <row r="986" spans="1:29" ht="18.75" customHeight="1" x14ac:dyDescent="0.3">
      <c r="A986" s="163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86"/>
      <c r="M986" s="158"/>
      <c r="N986" s="175"/>
      <c r="O986" s="176" t="s">
        <v>119</v>
      </c>
      <c r="P986" s="176"/>
      <c r="Q986" s="176"/>
      <c r="R986" s="176" t="str">
        <f t="shared" si="298"/>
        <v/>
      </c>
      <c r="S986" s="156"/>
      <c r="T986" s="176" t="s">
        <v>119</v>
      </c>
      <c r="U986" s="182" t="str">
        <f>IF($J$1="Dec",Y985,"")</f>
        <v/>
      </c>
      <c r="V986" s="178"/>
      <c r="W986" s="182" t="str">
        <f t="shared" si="292"/>
        <v/>
      </c>
      <c r="X986" s="178"/>
      <c r="Y986" s="182" t="str">
        <f t="shared" si="293"/>
        <v/>
      </c>
      <c r="Z986" s="183"/>
      <c r="AA986" s="150"/>
      <c r="AB986" s="150"/>
      <c r="AC986" s="150"/>
    </row>
    <row r="987" spans="1:29" ht="18.75" customHeight="1" thickBot="1" x14ac:dyDescent="0.3">
      <c r="A987" s="197"/>
      <c r="B987" s="213"/>
      <c r="C987" s="213"/>
      <c r="D987" s="213"/>
      <c r="E987" s="213"/>
      <c r="F987" s="213"/>
      <c r="G987" s="213"/>
      <c r="H987" s="213"/>
      <c r="I987" s="213"/>
      <c r="J987" s="213"/>
      <c r="K987" s="213"/>
      <c r="L987" s="199"/>
      <c r="M987" s="158"/>
      <c r="N987" s="214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8"/>
      <c r="AA987" s="150"/>
      <c r="AB987" s="150"/>
      <c r="AC987" s="150"/>
    </row>
    <row r="988" spans="1:29" ht="27.75" customHeight="1" thickBot="1" x14ac:dyDescent="0.35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  <c r="AA988" s="150"/>
      <c r="AB988" s="150"/>
      <c r="AC988" s="150"/>
    </row>
    <row r="989" spans="1:29" ht="27.75" customHeight="1" x14ac:dyDescent="0.25">
      <c r="A989" s="540" t="s">
        <v>87</v>
      </c>
      <c r="B989" s="538"/>
      <c r="C989" s="538"/>
      <c r="D989" s="538"/>
      <c r="E989" s="538"/>
      <c r="F989" s="538"/>
      <c r="G989" s="538"/>
      <c r="H989" s="538"/>
      <c r="I989" s="538"/>
      <c r="J989" s="538"/>
      <c r="K989" s="538"/>
      <c r="L989" s="539"/>
      <c r="M989" s="159"/>
      <c r="N989" s="160"/>
      <c r="O989" s="524" t="s">
        <v>88</v>
      </c>
      <c r="P989" s="525"/>
      <c r="Q989" s="525"/>
      <c r="R989" s="526"/>
      <c r="S989" s="161"/>
      <c r="T989" s="524" t="s">
        <v>89</v>
      </c>
      <c r="U989" s="525"/>
      <c r="V989" s="525"/>
      <c r="W989" s="525"/>
      <c r="X989" s="525"/>
      <c r="Y989" s="526"/>
      <c r="Z989" s="162"/>
      <c r="AA989" s="150"/>
      <c r="AB989" s="150"/>
      <c r="AC989" s="150"/>
    </row>
    <row r="990" spans="1:29" ht="27.75" customHeight="1" x14ac:dyDescent="0.25">
      <c r="A990" s="163"/>
      <c r="B990" s="149"/>
      <c r="C990" s="535" t="s">
        <v>90</v>
      </c>
      <c r="D990" s="531"/>
      <c r="E990" s="531"/>
      <c r="F990" s="531"/>
      <c r="G990" s="164" t="str">
        <f>$J$1</f>
        <v>September</v>
      </c>
      <c r="H990" s="536">
        <f>$K$1</f>
        <v>2024</v>
      </c>
      <c r="I990" s="531"/>
      <c r="J990" s="149"/>
      <c r="K990" s="165"/>
      <c r="L990" s="166"/>
      <c r="M990" s="167"/>
      <c r="N990" s="168"/>
      <c r="O990" s="169" t="s">
        <v>91</v>
      </c>
      <c r="P990" s="169" t="s">
        <v>92</v>
      </c>
      <c r="Q990" s="169" t="s">
        <v>93</v>
      </c>
      <c r="R990" s="169" t="s">
        <v>94</v>
      </c>
      <c r="S990" s="170"/>
      <c r="T990" s="169" t="s">
        <v>91</v>
      </c>
      <c r="U990" s="169" t="s">
        <v>95</v>
      </c>
      <c r="V990" s="169" t="s">
        <v>9</v>
      </c>
      <c r="W990" s="169" t="s">
        <v>10</v>
      </c>
      <c r="X990" s="169" t="s">
        <v>11</v>
      </c>
      <c r="Y990" s="169" t="s">
        <v>96</v>
      </c>
      <c r="Z990" s="171"/>
      <c r="AA990" s="150"/>
      <c r="AB990" s="150"/>
      <c r="AC990" s="150"/>
    </row>
    <row r="991" spans="1:29" ht="18.75" customHeight="1" x14ac:dyDescent="0.25">
      <c r="A991" s="163"/>
      <c r="B991" s="149"/>
      <c r="C991" s="149"/>
      <c r="D991" s="172"/>
      <c r="E991" s="172"/>
      <c r="F991" s="172"/>
      <c r="G991" s="172"/>
      <c r="H991" s="172"/>
      <c r="I991" s="149"/>
      <c r="J991" s="173" t="s">
        <v>97</v>
      </c>
      <c r="K991" s="151">
        <v>30000</v>
      </c>
      <c r="L991" s="174"/>
      <c r="M991" s="158"/>
      <c r="N991" s="175"/>
      <c r="O991" s="176" t="s">
        <v>98</v>
      </c>
      <c r="P991" s="176"/>
      <c r="Q991" s="176"/>
      <c r="R991" s="176"/>
      <c r="S991" s="177"/>
      <c r="T991" s="176" t="s">
        <v>98</v>
      </c>
      <c r="U991" s="178"/>
      <c r="V991" s="178"/>
      <c r="W991" s="178">
        <f>V991+U991</f>
        <v>0</v>
      </c>
      <c r="X991" s="178"/>
      <c r="Y991" s="178">
        <f>W991-X991</f>
        <v>0</v>
      </c>
      <c r="Z991" s="171"/>
      <c r="AA991" s="150"/>
      <c r="AB991" s="150"/>
      <c r="AC991" s="150"/>
    </row>
    <row r="992" spans="1:29" ht="18.75" customHeight="1" x14ac:dyDescent="0.25">
      <c r="A992" s="163"/>
      <c r="B992" s="149" t="s">
        <v>99</v>
      </c>
      <c r="C992" s="148" t="s">
        <v>303</v>
      </c>
      <c r="D992" s="149"/>
      <c r="E992" s="149"/>
      <c r="F992" s="149"/>
      <c r="G992" s="149"/>
      <c r="H992" s="179"/>
      <c r="I992" s="172"/>
      <c r="J992" s="149"/>
      <c r="K992" s="149"/>
      <c r="L992" s="180"/>
      <c r="M992" s="159"/>
      <c r="N992" s="181"/>
      <c r="O992" s="176" t="s">
        <v>100</v>
      </c>
      <c r="P992" s="176"/>
      <c r="Q992" s="176"/>
      <c r="R992" s="176" t="str">
        <f t="shared" ref="R992:R993" si="299">IF(Q992="","",R991-Q992)</f>
        <v/>
      </c>
      <c r="S992" s="156"/>
      <c r="T992" s="176" t="s">
        <v>100</v>
      </c>
      <c r="U992" s="182">
        <f>Y991</f>
        <v>0</v>
      </c>
      <c r="V992" s="178"/>
      <c r="W992" s="182">
        <f t="shared" ref="W992:W995" si="300">IF(U992="","",U992+V992)</f>
        <v>0</v>
      </c>
      <c r="X992" s="178"/>
      <c r="Y992" s="182">
        <f t="shared" ref="Y992:Y1002" si="301">IF(W992="","",W992-X992)</f>
        <v>0</v>
      </c>
      <c r="Z992" s="183"/>
      <c r="AA992" s="150"/>
      <c r="AB992" s="150"/>
      <c r="AC992" s="150"/>
    </row>
    <row r="993" spans="1:29" ht="18.75" customHeight="1" x14ac:dyDescent="0.25">
      <c r="A993" s="163"/>
      <c r="B993" s="184" t="s">
        <v>101</v>
      </c>
      <c r="C993" s="210"/>
      <c r="D993" s="149"/>
      <c r="E993" s="149"/>
      <c r="F993" s="529" t="s">
        <v>89</v>
      </c>
      <c r="G993" s="503"/>
      <c r="H993" s="149"/>
      <c r="I993" s="529" t="s">
        <v>102</v>
      </c>
      <c r="J993" s="502"/>
      <c r="K993" s="503"/>
      <c r="L993" s="186"/>
      <c r="M993" s="158"/>
      <c r="N993" s="175"/>
      <c r="O993" s="176" t="s">
        <v>103</v>
      </c>
      <c r="P993" s="176"/>
      <c r="Q993" s="176"/>
      <c r="R993" s="176" t="str">
        <f t="shared" si="299"/>
        <v/>
      </c>
      <c r="S993" s="156"/>
      <c r="T993" s="176" t="s">
        <v>103</v>
      </c>
      <c r="U993" s="182">
        <f t="shared" ref="U993:U994" si="302">IF($J$1="April",Y992,Y992)</f>
        <v>0</v>
      </c>
      <c r="V993" s="178"/>
      <c r="W993" s="182">
        <f t="shared" si="300"/>
        <v>0</v>
      </c>
      <c r="X993" s="178"/>
      <c r="Y993" s="182">
        <f t="shared" si="301"/>
        <v>0</v>
      </c>
      <c r="Z993" s="183"/>
      <c r="AA993" s="150"/>
      <c r="AB993" s="150"/>
      <c r="AC993" s="150"/>
    </row>
    <row r="994" spans="1:29" ht="18.75" customHeight="1" x14ac:dyDescent="0.25">
      <c r="A994" s="163"/>
      <c r="B994" s="149"/>
      <c r="C994" s="149"/>
      <c r="D994" s="149"/>
      <c r="E994" s="149"/>
      <c r="F994" s="149"/>
      <c r="G994" s="149"/>
      <c r="H994" s="187"/>
      <c r="I994" s="149"/>
      <c r="J994" s="149"/>
      <c r="K994" s="149"/>
      <c r="L994" s="188"/>
      <c r="M994" s="158"/>
      <c r="N994" s="175"/>
      <c r="O994" s="176" t="s">
        <v>104</v>
      </c>
      <c r="P994" s="176"/>
      <c r="Q994" s="176"/>
      <c r="R994" s="176">
        <v>0</v>
      </c>
      <c r="S994" s="156"/>
      <c r="T994" s="176" t="s">
        <v>104</v>
      </c>
      <c r="U994" s="182">
        <f t="shared" si="302"/>
        <v>0</v>
      </c>
      <c r="V994" s="178"/>
      <c r="W994" s="182">
        <f t="shared" si="300"/>
        <v>0</v>
      </c>
      <c r="X994" s="178"/>
      <c r="Y994" s="182">
        <f t="shared" si="301"/>
        <v>0</v>
      </c>
      <c r="Z994" s="183"/>
      <c r="AA994" s="150"/>
      <c r="AB994" s="150"/>
      <c r="AC994" s="150"/>
    </row>
    <row r="995" spans="1:29" ht="18.75" customHeight="1" x14ac:dyDescent="0.25">
      <c r="A995" s="163"/>
      <c r="B995" s="527" t="s">
        <v>88</v>
      </c>
      <c r="C995" s="503"/>
      <c r="D995" s="149"/>
      <c r="E995" s="149"/>
      <c r="F995" s="189" t="s">
        <v>105</v>
      </c>
      <c r="G995" s="190" t="str">
        <f>IF($J$1="January",U991,IF($J$1="February",U992,IF($J$1="March",U993,IF($J$1="April",U994,IF($J$1="May",U995,IF($J$1="June",U996,IF($J$1="July",U997,IF($J$1="August",U998,IF($J$1="August",U998,IF($J$1="September",U999,IF($J$1="October",U1000,IF($J$1="November",U1001,IF($J$1="December",U1002)))))))))))))</f>
        <v/>
      </c>
      <c r="H995" s="187"/>
      <c r="I995" s="191">
        <f>IF(C999&gt;0,$K$2,C997)</f>
        <v>30</v>
      </c>
      <c r="J995" s="192" t="s">
        <v>106</v>
      </c>
      <c r="K995" s="193">
        <f>K991/$K$2*I995</f>
        <v>30000</v>
      </c>
      <c r="L995" s="194"/>
      <c r="M995" s="158"/>
      <c r="N995" s="175"/>
      <c r="O995" s="176" t="s">
        <v>107</v>
      </c>
      <c r="P995" s="176"/>
      <c r="Q995" s="176"/>
      <c r="R995" s="176">
        <v>0</v>
      </c>
      <c r="S995" s="156"/>
      <c r="T995" s="176" t="s">
        <v>107</v>
      </c>
      <c r="U995" s="182">
        <f t="shared" ref="U995:U996" si="303">IF($J$1="May",Y994,Y994)</f>
        <v>0</v>
      </c>
      <c r="V995" s="178"/>
      <c r="W995" s="182">
        <f t="shared" si="300"/>
        <v>0</v>
      </c>
      <c r="X995" s="178"/>
      <c r="Y995" s="182">
        <f t="shared" si="301"/>
        <v>0</v>
      </c>
      <c r="Z995" s="183"/>
      <c r="AA995" s="150"/>
      <c r="AB995" s="150"/>
      <c r="AC995" s="150"/>
    </row>
    <row r="996" spans="1:29" ht="18.75" customHeight="1" x14ac:dyDescent="0.25">
      <c r="A996" s="163"/>
      <c r="B996" s="195"/>
      <c r="C996" s="195"/>
      <c r="D996" s="149"/>
      <c r="E996" s="149"/>
      <c r="F996" s="189" t="s">
        <v>9</v>
      </c>
      <c r="G996" s="190">
        <f>IF($J$1="January",V991,IF($J$1="February",V992,IF($J$1="March",V993,IF($J$1="April",V994,IF($J$1="May",V995,IF($J$1="June",V996,IF($J$1="July",V997,IF($J$1="August",V998,IF($J$1="August",V998,IF($J$1="September",V999,IF($J$1="October",V1000,IF($J$1="November",V1001,IF($J$1="December",V1002)))))))))))))</f>
        <v>0</v>
      </c>
      <c r="H996" s="187"/>
      <c r="I996" s="211">
        <v>0</v>
      </c>
      <c r="J996" s="192" t="s">
        <v>108</v>
      </c>
      <c r="K996" s="190">
        <f>K991/$K$2/8*I996</f>
        <v>0</v>
      </c>
      <c r="L996" s="196"/>
      <c r="M996" s="158"/>
      <c r="N996" s="175"/>
      <c r="O996" s="176" t="s">
        <v>84</v>
      </c>
      <c r="P996" s="176"/>
      <c r="Q996" s="176"/>
      <c r="R996" s="176">
        <v>0</v>
      </c>
      <c r="S996" s="156"/>
      <c r="T996" s="176" t="s">
        <v>84</v>
      </c>
      <c r="U996" s="182">
        <f t="shared" si="303"/>
        <v>0</v>
      </c>
      <c r="V996" s="178"/>
      <c r="W996" s="182"/>
      <c r="X996" s="178"/>
      <c r="Y996" s="182" t="str">
        <f t="shared" si="301"/>
        <v/>
      </c>
      <c r="Z996" s="183"/>
      <c r="AA996" s="150"/>
      <c r="AB996" s="150"/>
      <c r="AC996" s="150"/>
    </row>
    <row r="997" spans="1:29" ht="18.75" customHeight="1" x14ac:dyDescent="0.25">
      <c r="A997" s="163"/>
      <c r="B997" s="189" t="s">
        <v>92</v>
      </c>
      <c r="C997" s="195">
        <f>IF($J$1="January",P991,IF($J$1="February",P992,IF($J$1="March",P993,IF($J$1="April",P994,IF($J$1="May",P995,IF($J$1="June",P996,IF($J$1="July",P997,IF($J$1="August",P998,IF($J$1="August",P998,IF($J$1="September",P999,IF($J$1="October",P1000,IF($J$1="November",P1001,IF($J$1="December",P1002)))))))))))))</f>
        <v>0</v>
      </c>
      <c r="D997" s="149"/>
      <c r="E997" s="149"/>
      <c r="F997" s="189" t="s">
        <v>109</v>
      </c>
      <c r="G997" s="190" t="str">
        <f>IF($J$1="January",W991,IF($J$1="February",W992,IF($J$1="March",W993,IF($J$1="April",W994,IF($J$1="May",W995,IF($J$1="June",W996,IF($J$1="July",W997,IF($J$1="August",W998,IF($J$1="August",W998,IF($J$1="September",W999,IF($J$1="October",W1000,IF($J$1="November",W1001,IF($J$1="December",W1002)))))))))))))</f>
        <v/>
      </c>
      <c r="H997" s="187"/>
      <c r="I997" s="528" t="s">
        <v>110</v>
      </c>
      <c r="J997" s="503"/>
      <c r="K997" s="190">
        <f>K995+K996</f>
        <v>30000</v>
      </c>
      <c r="L997" s="196"/>
      <c r="M997" s="158"/>
      <c r="N997" s="175"/>
      <c r="O997" s="176" t="s">
        <v>111</v>
      </c>
      <c r="P997" s="176">
        <v>24</v>
      </c>
      <c r="Q997" s="176">
        <v>7</v>
      </c>
      <c r="R997" s="176">
        <f t="shared" ref="R997:R1002" si="304">IF(Q997="","",R996-Q997)</f>
        <v>-7</v>
      </c>
      <c r="S997" s="156"/>
      <c r="T997" s="176" t="s">
        <v>111</v>
      </c>
      <c r="U997" s="182" t="str">
        <f>Y996</f>
        <v/>
      </c>
      <c r="V997" s="178"/>
      <c r="W997" s="182" t="str">
        <f t="shared" ref="W997:W1002" si="305">IF(U997="","",U997+V997)</f>
        <v/>
      </c>
      <c r="X997" s="178"/>
      <c r="Y997" s="182" t="str">
        <f t="shared" si="301"/>
        <v/>
      </c>
      <c r="Z997" s="183"/>
      <c r="AA997" s="150"/>
      <c r="AB997" s="150"/>
      <c r="AC997" s="150"/>
    </row>
    <row r="998" spans="1:29" ht="18.75" customHeight="1" x14ac:dyDescent="0.25">
      <c r="A998" s="163"/>
      <c r="B998" s="189" t="s">
        <v>93</v>
      </c>
      <c r="C998" s="195">
        <f>IF($J$1="January",Q991,IF($J$1="February",Q992,IF($J$1="March",Q993,IF($J$1="April",Q994,IF($J$1="May",Q995,IF($J$1="June",Q996,IF($J$1="July",Q997,IF($J$1="August",Q998,IF($J$1="August",Q998,IF($J$1="September",Q999,IF($J$1="October",Q1000,IF($J$1="November",Q1001,IF($J$1="December",Q1002)))))))))))))</f>
        <v>0</v>
      </c>
      <c r="D998" s="149"/>
      <c r="E998" s="149"/>
      <c r="F998" s="189" t="s">
        <v>11</v>
      </c>
      <c r="G998" s="190">
        <f>IF($J$1="January",X991,IF($J$1="February",X992,IF($J$1="March",X993,IF($J$1="April",X994,IF($J$1="May",X995,IF($J$1="June",X996,IF($J$1="July",X997,IF($J$1="August",X998,IF($J$1="August",X998,IF($J$1="September",X999,IF($J$1="October",X1000,IF($J$1="November",X1001,IF($J$1="December",X1002)))))))))))))</f>
        <v>0</v>
      </c>
      <c r="H998" s="187"/>
      <c r="I998" s="528" t="s">
        <v>112</v>
      </c>
      <c r="J998" s="503"/>
      <c r="K998" s="190">
        <f>G998</f>
        <v>0</v>
      </c>
      <c r="L998" s="196"/>
      <c r="M998" s="158"/>
      <c r="N998" s="175"/>
      <c r="O998" s="176" t="s">
        <v>113</v>
      </c>
      <c r="P998" s="176"/>
      <c r="Q998" s="176"/>
      <c r="R998" s="176" t="str">
        <f t="shared" si="304"/>
        <v/>
      </c>
      <c r="S998" s="156"/>
      <c r="T998" s="176" t="s">
        <v>113</v>
      </c>
      <c r="U998" s="182" t="str">
        <f t="shared" ref="U998:U999" si="306">IF($J$1="September",Y997,"")</f>
        <v/>
      </c>
      <c r="V998" s="178"/>
      <c r="W998" s="182" t="str">
        <f t="shared" si="305"/>
        <v/>
      </c>
      <c r="X998" s="178"/>
      <c r="Y998" s="182" t="str">
        <f t="shared" si="301"/>
        <v/>
      </c>
      <c r="Z998" s="183"/>
      <c r="AA998" s="150"/>
      <c r="AB998" s="150"/>
      <c r="AC998" s="150"/>
    </row>
    <row r="999" spans="1:29" ht="18.75" customHeight="1" x14ac:dyDescent="0.25">
      <c r="A999" s="163"/>
      <c r="B999" s="212" t="s">
        <v>114</v>
      </c>
      <c r="C999" s="195" t="str">
        <f>IF($J$1="January",R991,IF($J$1="February",R992,IF($J$1="March",R993,IF($J$1="April",R994,IF($J$1="May",R995,IF($J$1="June",R996,IF($J$1="July",R997,IF($J$1="August",R998,IF($J$1="August",R998,IF($J$1="September",R999,IF($J$1="October",R1000,IF($J$1="November",R1001,IF($J$1="December",R1002)))))))))))))</f>
        <v/>
      </c>
      <c r="D999" s="149"/>
      <c r="E999" s="149"/>
      <c r="F999" s="189" t="s">
        <v>167</v>
      </c>
      <c r="G999" s="190" t="str">
        <f>IF($J$1="January",Y991,IF($J$1="February",Y992,IF($J$1="March",Y993,IF($J$1="April",Y994,IF($J$1="May",Y995,IF($J$1="June",Y996,IF($J$1="July",Y997,IF($J$1="August",Y998,IF($J$1="August",Y998,IF($J$1="September",Y999,IF($J$1="October",Y1000,IF($J$1="November",Y1001,IF($J$1="December",Y1002)))))))))))))</f>
        <v/>
      </c>
      <c r="H999" s="149"/>
      <c r="I999" s="529" t="s">
        <v>13</v>
      </c>
      <c r="J999" s="503"/>
      <c r="K999" s="37"/>
      <c r="L999" s="180"/>
      <c r="M999" s="158"/>
      <c r="N999" s="175"/>
      <c r="O999" s="176" t="s">
        <v>116</v>
      </c>
      <c r="P999" s="176"/>
      <c r="Q999" s="176"/>
      <c r="R999" s="176" t="str">
        <f t="shared" si="304"/>
        <v/>
      </c>
      <c r="S999" s="156"/>
      <c r="T999" s="176" t="s">
        <v>116</v>
      </c>
      <c r="U999" s="182" t="str">
        <f t="shared" si="306"/>
        <v/>
      </c>
      <c r="V999" s="178"/>
      <c r="W999" s="182" t="str">
        <f t="shared" si="305"/>
        <v/>
      </c>
      <c r="X999" s="178"/>
      <c r="Y999" s="182" t="str">
        <f t="shared" si="301"/>
        <v/>
      </c>
      <c r="Z999" s="183"/>
      <c r="AA999" s="150"/>
      <c r="AB999" s="150"/>
      <c r="AC999" s="150"/>
    </row>
    <row r="1000" spans="1:29" ht="18.75" customHeight="1" x14ac:dyDescent="0.25">
      <c r="A1000" s="163"/>
      <c r="B1000" s="149"/>
      <c r="C1000" s="149"/>
      <c r="D1000" s="149"/>
      <c r="E1000" s="149"/>
      <c r="F1000" s="149"/>
      <c r="G1000" s="149"/>
      <c r="H1000" s="149"/>
      <c r="I1000" s="530"/>
      <c r="J1000" s="531"/>
      <c r="K1000" s="151"/>
      <c r="L1000" s="186"/>
      <c r="M1000" s="158"/>
      <c r="N1000" s="175"/>
      <c r="O1000" s="176" t="s">
        <v>117</v>
      </c>
      <c r="P1000" s="176"/>
      <c r="Q1000" s="176"/>
      <c r="R1000" s="176" t="str">
        <f t="shared" si="304"/>
        <v/>
      </c>
      <c r="S1000" s="156"/>
      <c r="T1000" s="176" t="s">
        <v>117</v>
      </c>
      <c r="U1000" s="182" t="str">
        <f>IF($J$1="October",Y999,"")</f>
        <v/>
      </c>
      <c r="V1000" s="178"/>
      <c r="W1000" s="182" t="str">
        <f t="shared" si="305"/>
        <v/>
      </c>
      <c r="X1000" s="178"/>
      <c r="Y1000" s="182" t="str">
        <f t="shared" si="301"/>
        <v/>
      </c>
      <c r="Z1000" s="183"/>
      <c r="AA1000" s="150"/>
      <c r="AB1000" s="150"/>
      <c r="AC1000" s="150"/>
    </row>
    <row r="1001" spans="1:29" ht="18.75" customHeight="1" x14ac:dyDescent="0.3">
      <c r="A1001" s="163"/>
      <c r="B1001" s="147"/>
      <c r="C1001" s="147"/>
      <c r="D1001" s="147"/>
      <c r="E1001" s="147"/>
      <c r="F1001" s="147"/>
      <c r="G1001" s="147"/>
      <c r="H1001" s="147"/>
      <c r="I1001" s="530"/>
      <c r="J1001" s="531"/>
      <c r="K1001" s="151"/>
      <c r="L1001" s="186"/>
      <c r="M1001" s="158"/>
      <c r="N1001" s="175"/>
      <c r="O1001" s="176" t="s">
        <v>118</v>
      </c>
      <c r="P1001" s="176"/>
      <c r="Q1001" s="176"/>
      <c r="R1001" s="176" t="str">
        <f t="shared" si="304"/>
        <v/>
      </c>
      <c r="S1001" s="156"/>
      <c r="T1001" s="176" t="s">
        <v>118</v>
      </c>
      <c r="U1001" s="182" t="str">
        <f>IF($J$1="November",Y1000,"")</f>
        <v/>
      </c>
      <c r="V1001" s="178"/>
      <c r="W1001" s="182" t="str">
        <f t="shared" si="305"/>
        <v/>
      </c>
      <c r="X1001" s="178"/>
      <c r="Y1001" s="182" t="str">
        <f t="shared" si="301"/>
        <v/>
      </c>
      <c r="Z1001" s="183"/>
      <c r="AA1001" s="150"/>
      <c r="AB1001" s="150"/>
      <c r="AC1001" s="150"/>
    </row>
    <row r="1002" spans="1:29" ht="18.75" customHeight="1" x14ac:dyDescent="0.3">
      <c r="A1002" s="163"/>
      <c r="B1002" s="147"/>
      <c r="C1002" s="147"/>
      <c r="D1002" s="147"/>
      <c r="E1002" s="147"/>
      <c r="F1002" s="147"/>
      <c r="G1002" s="147"/>
      <c r="H1002" s="147"/>
      <c r="I1002" s="147"/>
      <c r="J1002" s="147"/>
      <c r="K1002" s="147"/>
      <c r="L1002" s="186"/>
      <c r="M1002" s="158"/>
      <c r="N1002" s="175"/>
      <c r="O1002" s="176" t="s">
        <v>119</v>
      </c>
      <c r="P1002" s="176"/>
      <c r="Q1002" s="176"/>
      <c r="R1002" s="176" t="str">
        <f t="shared" si="304"/>
        <v/>
      </c>
      <c r="S1002" s="156"/>
      <c r="T1002" s="176" t="s">
        <v>119</v>
      </c>
      <c r="U1002" s="182" t="str">
        <f>IF($J$1="Dec",Y1001,"")</f>
        <v/>
      </c>
      <c r="V1002" s="178"/>
      <c r="W1002" s="182" t="str">
        <f t="shared" si="305"/>
        <v/>
      </c>
      <c r="X1002" s="178"/>
      <c r="Y1002" s="182" t="str">
        <f t="shared" si="301"/>
        <v/>
      </c>
      <c r="Z1002" s="183"/>
      <c r="AA1002" s="150"/>
      <c r="AB1002" s="150"/>
      <c r="AC1002" s="150"/>
    </row>
    <row r="1003" spans="1:29" ht="18.75" customHeight="1" thickBot="1" x14ac:dyDescent="0.3">
      <c r="A1003" s="197"/>
      <c r="B1003" s="213"/>
      <c r="C1003" s="213"/>
      <c r="D1003" s="213"/>
      <c r="E1003" s="213"/>
      <c r="F1003" s="213"/>
      <c r="G1003" s="213"/>
      <c r="H1003" s="213"/>
      <c r="I1003" s="213"/>
      <c r="J1003" s="213"/>
      <c r="K1003" s="213"/>
      <c r="L1003" s="199"/>
      <c r="M1003" s="158"/>
      <c r="N1003" s="214"/>
      <c r="O1003" s="215"/>
      <c r="P1003" s="215"/>
      <c r="Q1003" s="215"/>
      <c r="R1003" s="215"/>
      <c r="S1003" s="215"/>
      <c r="T1003" s="215"/>
      <c r="U1003" s="215"/>
      <c r="V1003" s="215"/>
      <c r="W1003" s="215"/>
      <c r="X1003" s="215"/>
      <c r="Y1003" s="215"/>
      <c r="Z1003" s="218"/>
      <c r="AA1003" s="150"/>
      <c r="AB1003" s="150"/>
      <c r="AC1003" s="150"/>
    </row>
    <row r="1004" spans="1:29" ht="27.75" customHeight="1" thickBot="1" x14ac:dyDescent="0.35">
      <c r="A1004" s="147"/>
      <c r="B1004" s="147"/>
      <c r="C1004" s="147"/>
      <c r="D1004" s="147"/>
      <c r="E1004" s="147"/>
      <c r="F1004" s="147"/>
      <c r="G1004" s="147"/>
      <c r="H1004" s="147"/>
      <c r="I1004" s="147"/>
      <c r="J1004" s="147"/>
      <c r="K1004" s="147"/>
      <c r="L1004" s="147"/>
      <c r="M1004" s="150"/>
      <c r="N1004" s="150"/>
      <c r="O1004" s="150"/>
      <c r="P1004" s="150"/>
      <c r="Q1004" s="150"/>
      <c r="R1004" s="150"/>
      <c r="S1004" s="150"/>
      <c r="T1004" s="150"/>
      <c r="U1004" s="150"/>
      <c r="V1004" s="150"/>
      <c r="W1004" s="150"/>
      <c r="X1004" s="150"/>
      <c r="Y1004" s="150"/>
      <c r="Z1004" s="150"/>
      <c r="AA1004" s="150"/>
      <c r="AB1004" s="150"/>
      <c r="AC1004" s="150"/>
    </row>
    <row r="1005" spans="1:29" ht="27.75" customHeight="1" x14ac:dyDescent="0.25">
      <c r="A1005" s="540" t="s">
        <v>87</v>
      </c>
      <c r="B1005" s="538"/>
      <c r="C1005" s="538"/>
      <c r="D1005" s="538"/>
      <c r="E1005" s="538"/>
      <c r="F1005" s="538"/>
      <c r="G1005" s="538"/>
      <c r="H1005" s="538"/>
      <c r="I1005" s="538"/>
      <c r="J1005" s="538"/>
      <c r="K1005" s="538"/>
      <c r="L1005" s="539"/>
      <c r="M1005" s="159"/>
      <c r="N1005" s="160"/>
      <c r="O1005" s="524" t="s">
        <v>88</v>
      </c>
      <c r="P1005" s="525"/>
      <c r="Q1005" s="525"/>
      <c r="R1005" s="526"/>
      <c r="S1005" s="161"/>
      <c r="T1005" s="524" t="s">
        <v>89</v>
      </c>
      <c r="U1005" s="525"/>
      <c r="V1005" s="525"/>
      <c r="W1005" s="525"/>
      <c r="X1005" s="525"/>
      <c r="Y1005" s="526"/>
      <c r="Z1005" s="162"/>
      <c r="AA1005" s="150"/>
      <c r="AB1005" s="150"/>
      <c r="AC1005" s="150"/>
    </row>
    <row r="1006" spans="1:29" ht="27.75" customHeight="1" x14ac:dyDescent="0.25">
      <c r="A1006" s="163"/>
      <c r="B1006" s="149"/>
      <c r="C1006" s="535" t="s">
        <v>90</v>
      </c>
      <c r="D1006" s="531"/>
      <c r="E1006" s="531"/>
      <c r="F1006" s="531"/>
      <c r="G1006" s="164" t="str">
        <f>$J$1</f>
        <v>September</v>
      </c>
      <c r="H1006" s="536">
        <f>$K$1</f>
        <v>2024</v>
      </c>
      <c r="I1006" s="531"/>
      <c r="J1006" s="149"/>
      <c r="K1006" s="165"/>
      <c r="L1006" s="166"/>
      <c r="M1006" s="167"/>
      <c r="N1006" s="168"/>
      <c r="O1006" s="169" t="s">
        <v>91</v>
      </c>
      <c r="P1006" s="169" t="s">
        <v>92</v>
      </c>
      <c r="Q1006" s="169" t="s">
        <v>93</v>
      </c>
      <c r="R1006" s="169" t="s">
        <v>94</v>
      </c>
      <c r="S1006" s="170"/>
      <c r="T1006" s="169" t="s">
        <v>91</v>
      </c>
      <c r="U1006" s="169" t="s">
        <v>95</v>
      </c>
      <c r="V1006" s="169" t="s">
        <v>9</v>
      </c>
      <c r="W1006" s="169" t="s">
        <v>10</v>
      </c>
      <c r="X1006" s="169" t="s">
        <v>11</v>
      </c>
      <c r="Y1006" s="169" t="s">
        <v>96</v>
      </c>
      <c r="Z1006" s="171"/>
      <c r="AA1006" s="150"/>
      <c r="AB1006" s="150"/>
      <c r="AC1006" s="150"/>
    </row>
    <row r="1007" spans="1:29" ht="18.75" customHeight="1" x14ac:dyDescent="0.25">
      <c r="A1007" s="163"/>
      <c r="B1007" s="149"/>
      <c r="C1007" s="149"/>
      <c r="D1007" s="172"/>
      <c r="E1007" s="172"/>
      <c r="F1007" s="172"/>
      <c r="G1007" s="172"/>
      <c r="H1007" s="172"/>
      <c r="I1007" s="149"/>
      <c r="J1007" s="173" t="s">
        <v>97</v>
      </c>
      <c r="K1007" s="151"/>
      <c r="L1007" s="174"/>
      <c r="M1007" s="158"/>
      <c r="N1007" s="175"/>
      <c r="O1007" s="176" t="s">
        <v>98</v>
      </c>
      <c r="P1007" s="176"/>
      <c r="Q1007" s="176"/>
      <c r="R1007" s="176"/>
      <c r="S1007" s="177"/>
      <c r="T1007" s="176" t="s">
        <v>98</v>
      </c>
      <c r="U1007" s="178"/>
      <c r="V1007" s="178"/>
      <c r="W1007" s="178">
        <f>V1007+U1007</f>
        <v>0</v>
      </c>
      <c r="X1007" s="178"/>
      <c r="Y1007" s="178">
        <f>W1007-X1007</f>
        <v>0</v>
      </c>
      <c r="Z1007" s="171"/>
      <c r="AA1007" s="150"/>
      <c r="AB1007" s="150"/>
      <c r="AC1007" s="150"/>
    </row>
    <row r="1008" spans="1:29" ht="18.75" customHeight="1" x14ac:dyDescent="0.25">
      <c r="A1008" s="163"/>
      <c r="B1008" s="149" t="s">
        <v>99</v>
      </c>
      <c r="C1008" s="148" t="s">
        <v>290</v>
      </c>
      <c r="D1008" s="149"/>
      <c r="E1008" s="149"/>
      <c r="F1008" s="149"/>
      <c r="G1008" s="149"/>
      <c r="H1008" s="179"/>
      <c r="I1008" s="172"/>
      <c r="J1008" s="149"/>
      <c r="K1008" s="149"/>
      <c r="L1008" s="180"/>
      <c r="M1008" s="159"/>
      <c r="N1008" s="181"/>
      <c r="O1008" s="176" t="s">
        <v>100</v>
      </c>
      <c r="P1008" s="176"/>
      <c r="Q1008" s="176"/>
      <c r="R1008" s="176" t="str">
        <f t="shared" ref="R1008:R1009" si="307">IF(Q1008="","",R1007-Q1008)</f>
        <v/>
      </c>
      <c r="S1008" s="156"/>
      <c r="T1008" s="176" t="s">
        <v>100</v>
      </c>
      <c r="U1008" s="182">
        <f>Y1007</f>
        <v>0</v>
      </c>
      <c r="V1008" s="178"/>
      <c r="W1008" s="182">
        <f t="shared" ref="W1008:W1011" si="308">IF(U1008="","",U1008+V1008)</f>
        <v>0</v>
      </c>
      <c r="X1008" s="178"/>
      <c r="Y1008" s="182">
        <f t="shared" ref="Y1008:Y1018" si="309">IF(W1008="","",W1008-X1008)</f>
        <v>0</v>
      </c>
      <c r="Z1008" s="183"/>
      <c r="AA1008" s="150"/>
      <c r="AB1008" s="150"/>
      <c r="AC1008" s="150"/>
    </row>
    <row r="1009" spans="1:29" ht="18.75" customHeight="1" x14ac:dyDescent="0.25">
      <c r="A1009" s="163"/>
      <c r="B1009" s="184" t="s">
        <v>101</v>
      </c>
      <c r="C1009" s="210"/>
      <c r="D1009" s="149"/>
      <c r="E1009" s="149"/>
      <c r="F1009" s="529" t="s">
        <v>89</v>
      </c>
      <c r="G1009" s="503"/>
      <c r="H1009" s="149"/>
      <c r="I1009" s="529" t="s">
        <v>102</v>
      </c>
      <c r="J1009" s="502"/>
      <c r="K1009" s="503"/>
      <c r="L1009" s="186"/>
      <c r="M1009" s="158"/>
      <c r="N1009" s="175"/>
      <c r="O1009" s="176" t="s">
        <v>103</v>
      </c>
      <c r="P1009" s="176"/>
      <c r="Q1009" s="176"/>
      <c r="R1009" s="176" t="str">
        <f t="shared" si="307"/>
        <v/>
      </c>
      <c r="S1009" s="156"/>
      <c r="T1009" s="176" t="s">
        <v>103</v>
      </c>
      <c r="U1009" s="182">
        <f t="shared" ref="U1009:U1010" si="310">IF($J$1="April",Y1008,Y1008)</f>
        <v>0</v>
      </c>
      <c r="V1009" s="178"/>
      <c r="W1009" s="182">
        <f t="shared" si="308"/>
        <v>0</v>
      </c>
      <c r="X1009" s="178"/>
      <c r="Y1009" s="182">
        <f t="shared" si="309"/>
        <v>0</v>
      </c>
      <c r="Z1009" s="183"/>
      <c r="AA1009" s="150"/>
      <c r="AB1009" s="150"/>
      <c r="AC1009" s="150"/>
    </row>
    <row r="1010" spans="1:29" ht="18.75" customHeight="1" x14ac:dyDescent="0.25">
      <c r="A1010" s="163"/>
      <c r="B1010" s="149"/>
      <c r="C1010" s="149"/>
      <c r="D1010" s="149"/>
      <c r="E1010" s="149"/>
      <c r="F1010" s="149"/>
      <c r="G1010" s="149"/>
      <c r="H1010" s="187"/>
      <c r="I1010" s="149"/>
      <c r="J1010" s="149"/>
      <c r="K1010" s="149"/>
      <c r="L1010" s="188"/>
      <c r="M1010" s="158"/>
      <c r="N1010" s="175"/>
      <c r="O1010" s="176" t="s">
        <v>104</v>
      </c>
      <c r="P1010" s="176"/>
      <c r="Q1010" s="176"/>
      <c r="R1010" s="176">
        <v>0</v>
      </c>
      <c r="S1010" s="156"/>
      <c r="T1010" s="176" t="s">
        <v>104</v>
      </c>
      <c r="U1010" s="182">
        <f t="shared" si="310"/>
        <v>0</v>
      </c>
      <c r="V1010" s="178"/>
      <c r="W1010" s="182">
        <f t="shared" si="308"/>
        <v>0</v>
      </c>
      <c r="X1010" s="178"/>
      <c r="Y1010" s="182">
        <f t="shared" si="309"/>
        <v>0</v>
      </c>
      <c r="Z1010" s="183"/>
      <c r="AA1010" s="150"/>
      <c r="AB1010" s="150"/>
      <c r="AC1010" s="150"/>
    </row>
    <row r="1011" spans="1:29" ht="18.75" customHeight="1" x14ac:dyDescent="0.25">
      <c r="A1011" s="163"/>
      <c r="B1011" s="527" t="s">
        <v>88</v>
      </c>
      <c r="C1011" s="503"/>
      <c r="D1011" s="149"/>
      <c r="E1011" s="149"/>
      <c r="F1011" s="189" t="s">
        <v>105</v>
      </c>
      <c r="G1011" s="190" t="str">
        <f>IF($J$1="January",U1007,IF($J$1="February",U1008,IF($J$1="March",U1009,IF($J$1="April",U1010,IF($J$1="May",U1011,IF($J$1="June",U1012,IF($J$1="July",U1013,IF($J$1="August",U1014,IF($J$1="August",U1014,IF($J$1="September",U1015,IF($J$1="October",U1016,IF($J$1="November",U1017,IF($J$1="December",U1018)))))))))))))</f>
        <v/>
      </c>
      <c r="H1011" s="187"/>
      <c r="I1011" s="191">
        <f>IF(C1015&gt;0,$K$2,C1013)</f>
        <v>30</v>
      </c>
      <c r="J1011" s="192" t="s">
        <v>106</v>
      </c>
      <c r="K1011" s="399">
        <v>0</v>
      </c>
      <c r="L1011" s="194"/>
      <c r="M1011" s="158"/>
      <c r="N1011" s="175"/>
      <c r="O1011" s="176" t="s">
        <v>107</v>
      </c>
      <c r="P1011" s="176"/>
      <c r="Q1011" s="176"/>
      <c r="R1011" s="176">
        <v>0</v>
      </c>
      <c r="S1011" s="156"/>
      <c r="T1011" s="176" t="s">
        <v>107</v>
      </c>
      <c r="U1011" s="182">
        <f t="shared" ref="U1011:U1012" si="311">IF($J$1="May",Y1010,Y1010)</f>
        <v>0</v>
      </c>
      <c r="V1011" s="178"/>
      <c r="W1011" s="182">
        <f t="shared" si="308"/>
        <v>0</v>
      </c>
      <c r="X1011" s="178"/>
      <c r="Y1011" s="182">
        <f t="shared" si="309"/>
        <v>0</v>
      </c>
      <c r="Z1011" s="183"/>
      <c r="AA1011" s="150"/>
      <c r="AB1011" s="150"/>
      <c r="AC1011" s="150"/>
    </row>
    <row r="1012" spans="1:29" ht="18.75" customHeight="1" x14ac:dyDescent="0.25">
      <c r="A1012" s="163"/>
      <c r="B1012" s="195"/>
      <c r="C1012" s="195"/>
      <c r="D1012" s="149"/>
      <c r="E1012" s="149"/>
      <c r="F1012" s="189" t="s">
        <v>9</v>
      </c>
      <c r="G1012" s="190">
        <f>IF($J$1="January",V1007,IF($J$1="February",V1008,IF($J$1="March",V1009,IF($J$1="April",V1010,IF($J$1="May",V1011,IF($J$1="June",V1012,IF($J$1="July",V1013,IF($J$1="August",V1014,IF($J$1="August",V1014,IF($J$1="September",V1015,IF($J$1="October",V1016,IF($J$1="November",V1017,IF($J$1="December",V1018)))))))))))))</f>
        <v>0</v>
      </c>
      <c r="H1012" s="187"/>
      <c r="I1012" s="211"/>
      <c r="J1012" s="192" t="s">
        <v>108</v>
      </c>
      <c r="K1012" s="190">
        <f>K1007/$K$2/8*I1012</f>
        <v>0</v>
      </c>
      <c r="L1012" s="196"/>
      <c r="M1012" s="158"/>
      <c r="N1012" s="175"/>
      <c r="O1012" s="176" t="s">
        <v>84</v>
      </c>
      <c r="P1012" s="176"/>
      <c r="Q1012" s="176"/>
      <c r="R1012" s="176">
        <v>0</v>
      </c>
      <c r="S1012" s="156"/>
      <c r="T1012" s="176" t="s">
        <v>84</v>
      </c>
      <c r="U1012" s="182">
        <f t="shared" si="311"/>
        <v>0</v>
      </c>
      <c r="V1012" s="178"/>
      <c r="W1012" s="182"/>
      <c r="X1012" s="178"/>
      <c r="Y1012" s="182" t="str">
        <f t="shared" si="309"/>
        <v/>
      </c>
      <c r="Z1012" s="183"/>
      <c r="AA1012" s="150"/>
      <c r="AB1012" s="150"/>
      <c r="AC1012" s="150"/>
    </row>
    <row r="1013" spans="1:29" ht="18.75" customHeight="1" x14ac:dyDescent="0.25">
      <c r="A1013" s="163"/>
      <c r="B1013" s="189" t="s">
        <v>92</v>
      </c>
      <c r="C1013" s="195">
        <f>IF($J$1="January",P1007,IF($J$1="February",P1008,IF($J$1="March",P1009,IF($J$1="April",P1010,IF($J$1="May",P1011,IF($J$1="June",P1012,IF($J$1="July",P1013,IF($J$1="August",P1014,IF($J$1="August",P1014,IF($J$1="September",P1015,IF($J$1="October",P1016,IF($J$1="November",P1017,IF($J$1="December",P1018)))))))))))))</f>
        <v>0</v>
      </c>
      <c r="D1013" s="149"/>
      <c r="E1013" s="149"/>
      <c r="F1013" s="189" t="s">
        <v>109</v>
      </c>
      <c r="G1013" s="190" t="str">
        <f>IF($J$1="January",W1007,IF($J$1="February",W1008,IF($J$1="March",W1009,IF($J$1="April",W1010,IF($J$1="May",W1011,IF($J$1="June",W1012,IF($J$1="July",W1013,IF($J$1="August",W1014,IF($J$1="August",W1014,IF($J$1="September",W1015,IF($J$1="October",W1016,IF($J$1="November",W1017,IF($J$1="December",W1018)))))))))))))</f>
        <v/>
      </c>
      <c r="H1013" s="187"/>
      <c r="I1013" s="528" t="s">
        <v>110</v>
      </c>
      <c r="J1013" s="503"/>
      <c r="K1013" s="190">
        <f>K1011+K1012</f>
        <v>0</v>
      </c>
      <c r="L1013" s="196"/>
      <c r="M1013" s="158"/>
      <c r="N1013" s="175"/>
      <c r="O1013" s="176" t="s">
        <v>111</v>
      </c>
      <c r="P1013" s="176">
        <v>9</v>
      </c>
      <c r="Q1013" s="176">
        <v>21</v>
      </c>
      <c r="R1013" s="176">
        <v>0</v>
      </c>
      <c r="S1013" s="156"/>
      <c r="T1013" s="176" t="s">
        <v>111</v>
      </c>
      <c r="U1013" s="182" t="str">
        <f>Y1012</f>
        <v/>
      </c>
      <c r="V1013" s="178"/>
      <c r="W1013" s="182" t="str">
        <f t="shared" ref="W1013:W1018" si="312">IF(U1013="","",U1013+V1013)</f>
        <v/>
      </c>
      <c r="X1013" s="178"/>
      <c r="Y1013" s="182" t="str">
        <f t="shared" si="309"/>
        <v/>
      </c>
      <c r="Z1013" s="183"/>
      <c r="AA1013" s="150"/>
      <c r="AB1013" s="150"/>
      <c r="AC1013" s="150"/>
    </row>
    <row r="1014" spans="1:29" ht="18.75" customHeight="1" x14ac:dyDescent="0.25">
      <c r="A1014" s="163"/>
      <c r="B1014" s="189" t="s">
        <v>93</v>
      </c>
      <c r="C1014" s="195">
        <f>IF($J$1="January",Q1007,IF($J$1="February",Q1008,IF($J$1="March",Q1009,IF($J$1="April",Q1010,IF($J$1="May",Q1011,IF($J$1="June",Q1012,IF($J$1="July",Q1013,IF($J$1="August",Q1014,IF($J$1="August",Q1014,IF($J$1="September",Q1015,IF($J$1="October",Q1016,IF($J$1="November",Q1017,IF($J$1="December",Q1018)))))))))))))</f>
        <v>0</v>
      </c>
      <c r="D1014" s="149"/>
      <c r="E1014" s="149"/>
      <c r="F1014" s="189" t="s">
        <v>11</v>
      </c>
      <c r="G1014" s="190">
        <f>IF($J$1="January",X1007,IF($J$1="February",X1008,IF($J$1="March",X1009,IF($J$1="April",X1010,IF($J$1="May",X1011,IF($J$1="June",X1012,IF($J$1="July",X1013,IF($J$1="August",X1014,IF($J$1="August",X1014,IF($J$1="September",X1015,IF($J$1="October",X1016,IF($J$1="November",X1017,IF($J$1="December",X1018)))))))))))))</f>
        <v>0</v>
      </c>
      <c r="H1014" s="187"/>
      <c r="I1014" s="528" t="s">
        <v>112</v>
      </c>
      <c r="J1014" s="503"/>
      <c r="K1014" s="190">
        <f>G1014</f>
        <v>0</v>
      </c>
      <c r="L1014" s="196"/>
      <c r="M1014" s="158"/>
      <c r="N1014" s="175"/>
      <c r="O1014" s="176" t="s">
        <v>113</v>
      </c>
      <c r="P1014" s="176"/>
      <c r="Q1014" s="176"/>
      <c r="R1014" s="176" t="str">
        <f t="shared" ref="R1014:R1018" si="313">IF(Q1014="","",R1013-Q1014)</f>
        <v/>
      </c>
      <c r="S1014" s="156"/>
      <c r="T1014" s="176" t="s">
        <v>113</v>
      </c>
      <c r="U1014" s="182" t="str">
        <f t="shared" ref="U1014:U1015" si="314">IF($J$1="September",Y1013,"")</f>
        <v/>
      </c>
      <c r="V1014" s="178"/>
      <c r="W1014" s="182" t="str">
        <f t="shared" si="312"/>
        <v/>
      </c>
      <c r="X1014" s="178"/>
      <c r="Y1014" s="182" t="str">
        <f t="shared" si="309"/>
        <v/>
      </c>
      <c r="Z1014" s="183"/>
      <c r="AA1014" s="150"/>
      <c r="AB1014" s="150"/>
      <c r="AC1014" s="150"/>
    </row>
    <row r="1015" spans="1:29" ht="18.75" customHeight="1" x14ac:dyDescent="0.25">
      <c r="A1015" s="163"/>
      <c r="B1015" s="212" t="s">
        <v>114</v>
      </c>
      <c r="C1015" s="195" t="str">
        <f>IF($J$1="January",R1007,IF($J$1="February",R1008,IF($J$1="March",R1009,IF($J$1="April",R1010,IF($J$1="May",R1011,IF($J$1="June",R1012,IF($J$1="July",R1013,IF($J$1="August",R1014,IF($J$1="August",R1014,IF($J$1="September",R1015,IF($J$1="October",R1016,IF($J$1="November",R1017,IF($J$1="December",R1018)))))))))))))</f>
        <v/>
      </c>
      <c r="D1015" s="149"/>
      <c r="E1015" s="149"/>
      <c r="F1015" s="189" t="s">
        <v>167</v>
      </c>
      <c r="G1015" s="190" t="str">
        <f>IF($J$1="January",Y1007,IF($J$1="February",Y1008,IF($J$1="March",Y1009,IF($J$1="April",Y1010,IF($J$1="May",Y1011,IF($J$1="June",Y1012,IF($J$1="July",Y1013,IF($J$1="August",Y1014,IF($J$1="August",Y1014,IF($J$1="September",Y1015,IF($J$1="October",Y1016,IF($J$1="November",Y1017,IF($J$1="December",Y1018)))))))))))))</f>
        <v/>
      </c>
      <c r="H1015" s="149"/>
      <c r="I1015" s="529" t="s">
        <v>13</v>
      </c>
      <c r="J1015" s="503"/>
      <c r="K1015" s="37">
        <f>K1013-K1014</f>
        <v>0</v>
      </c>
      <c r="L1015" s="180"/>
      <c r="M1015" s="158"/>
      <c r="N1015" s="175"/>
      <c r="O1015" s="176" t="s">
        <v>116</v>
      </c>
      <c r="P1015" s="176"/>
      <c r="Q1015" s="176"/>
      <c r="R1015" s="176" t="str">
        <f t="shared" si="313"/>
        <v/>
      </c>
      <c r="S1015" s="156"/>
      <c r="T1015" s="176" t="s">
        <v>116</v>
      </c>
      <c r="U1015" s="182" t="str">
        <f t="shared" si="314"/>
        <v/>
      </c>
      <c r="V1015" s="178"/>
      <c r="W1015" s="182" t="str">
        <f t="shared" si="312"/>
        <v/>
      </c>
      <c r="X1015" s="178"/>
      <c r="Y1015" s="182" t="str">
        <f t="shared" si="309"/>
        <v/>
      </c>
      <c r="Z1015" s="183"/>
      <c r="AA1015" s="150"/>
      <c r="AB1015" s="150"/>
      <c r="AC1015" s="150"/>
    </row>
    <row r="1016" spans="1:29" ht="18.75" customHeight="1" x14ac:dyDescent="0.25">
      <c r="A1016" s="163"/>
      <c r="B1016" s="149"/>
      <c r="C1016" s="149"/>
      <c r="D1016" s="149"/>
      <c r="E1016" s="149"/>
      <c r="F1016" s="149"/>
      <c r="G1016" s="149"/>
      <c r="H1016" s="149"/>
      <c r="I1016" s="530"/>
      <c r="J1016" s="531"/>
      <c r="K1016" s="151"/>
      <c r="L1016" s="186"/>
      <c r="M1016" s="158"/>
      <c r="N1016" s="175"/>
      <c r="O1016" s="176" t="s">
        <v>117</v>
      </c>
      <c r="P1016" s="176"/>
      <c r="Q1016" s="176"/>
      <c r="R1016" s="176" t="str">
        <f t="shared" si="313"/>
        <v/>
      </c>
      <c r="S1016" s="156"/>
      <c r="T1016" s="176" t="s">
        <v>117</v>
      </c>
      <c r="U1016" s="182" t="str">
        <f>IF($J$1="October",Y1015,"")</f>
        <v/>
      </c>
      <c r="V1016" s="178"/>
      <c r="W1016" s="182" t="str">
        <f t="shared" si="312"/>
        <v/>
      </c>
      <c r="X1016" s="178"/>
      <c r="Y1016" s="182" t="str">
        <f t="shared" si="309"/>
        <v/>
      </c>
      <c r="Z1016" s="183"/>
      <c r="AA1016" s="150"/>
      <c r="AB1016" s="150"/>
      <c r="AC1016" s="150"/>
    </row>
    <row r="1017" spans="1:29" ht="18.75" customHeight="1" x14ac:dyDescent="0.3">
      <c r="A1017" s="163"/>
      <c r="B1017" s="147"/>
      <c r="C1017" s="147"/>
      <c r="D1017" s="147"/>
      <c r="E1017" s="147"/>
      <c r="F1017" s="147"/>
      <c r="G1017" s="147"/>
      <c r="H1017" s="147"/>
      <c r="I1017" s="530"/>
      <c r="J1017" s="531"/>
      <c r="K1017" s="151"/>
      <c r="L1017" s="186"/>
      <c r="M1017" s="158"/>
      <c r="N1017" s="175"/>
      <c r="O1017" s="176" t="s">
        <v>118</v>
      </c>
      <c r="P1017" s="176"/>
      <c r="Q1017" s="176"/>
      <c r="R1017" s="176" t="str">
        <f t="shared" si="313"/>
        <v/>
      </c>
      <c r="S1017" s="156"/>
      <c r="T1017" s="176" t="s">
        <v>118</v>
      </c>
      <c r="U1017" s="182" t="str">
        <f>IF($J$1="November",Y1016,"")</f>
        <v/>
      </c>
      <c r="V1017" s="178"/>
      <c r="W1017" s="182" t="str">
        <f t="shared" si="312"/>
        <v/>
      </c>
      <c r="X1017" s="178"/>
      <c r="Y1017" s="182" t="str">
        <f t="shared" si="309"/>
        <v/>
      </c>
      <c r="Z1017" s="183"/>
      <c r="AA1017" s="150"/>
      <c r="AB1017" s="150"/>
      <c r="AC1017" s="150"/>
    </row>
    <row r="1018" spans="1:29" ht="18.75" customHeight="1" x14ac:dyDescent="0.3">
      <c r="A1018" s="163"/>
      <c r="B1018" s="147"/>
      <c r="C1018" s="147"/>
      <c r="D1018" s="147"/>
      <c r="E1018" s="147"/>
      <c r="F1018" s="147"/>
      <c r="G1018" s="147"/>
      <c r="H1018" s="147"/>
      <c r="I1018" s="147"/>
      <c r="J1018" s="147"/>
      <c r="K1018" s="147"/>
      <c r="L1018" s="186"/>
      <c r="M1018" s="158"/>
      <c r="N1018" s="175"/>
      <c r="O1018" s="176" t="s">
        <v>119</v>
      </c>
      <c r="P1018" s="176"/>
      <c r="Q1018" s="176"/>
      <c r="R1018" s="176" t="str">
        <f t="shared" si="313"/>
        <v/>
      </c>
      <c r="S1018" s="156"/>
      <c r="T1018" s="176" t="s">
        <v>119</v>
      </c>
      <c r="U1018" s="182" t="str">
        <f>IF($J$1="Dec",Y1017,"")</f>
        <v/>
      </c>
      <c r="V1018" s="178"/>
      <c r="W1018" s="182" t="str">
        <f t="shared" si="312"/>
        <v/>
      </c>
      <c r="X1018" s="178"/>
      <c r="Y1018" s="182" t="str">
        <f t="shared" si="309"/>
        <v/>
      </c>
      <c r="Z1018" s="183"/>
      <c r="AA1018" s="150"/>
      <c r="AB1018" s="150"/>
      <c r="AC1018" s="150"/>
    </row>
    <row r="1019" spans="1:29" ht="18.75" customHeight="1" thickBot="1" x14ac:dyDescent="0.3">
      <c r="A1019" s="197"/>
      <c r="B1019" s="213"/>
      <c r="C1019" s="213"/>
      <c r="D1019" s="213"/>
      <c r="E1019" s="213"/>
      <c r="F1019" s="213"/>
      <c r="G1019" s="213"/>
      <c r="H1019" s="213"/>
      <c r="I1019" s="213"/>
      <c r="J1019" s="213"/>
      <c r="K1019" s="213"/>
      <c r="L1019" s="199"/>
      <c r="M1019" s="158"/>
      <c r="N1019" s="214"/>
      <c r="O1019" s="215"/>
      <c r="P1019" s="215"/>
      <c r="Q1019" s="215"/>
      <c r="R1019" s="215"/>
      <c r="S1019" s="215"/>
      <c r="T1019" s="215"/>
      <c r="U1019" s="215"/>
      <c r="V1019" s="215"/>
      <c r="W1019" s="215"/>
      <c r="X1019" s="215"/>
      <c r="Y1019" s="215"/>
      <c r="Z1019" s="218"/>
      <c r="AA1019" s="150"/>
      <c r="AB1019" s="150"/>
      <c r="AC1019" s="150"/>
    </row>
    <row r="1020" spans="1:29" ht="18.75" customHeight="1" thickBot="1" x14ac:dyDescent="0.3">
      <c r="M1020" s="158"/>
      <c r="N1020" s="175"/>
      <c r="O1020" s="150"/>
      <c r="P1020" s="150"/>
      <c r="Q1020" s="150"/>
      <c r="R1020" s="150"/>
      <c r="S1020" s="150"/>
      <c r="T1020" s="150"/>
      <c r="U1020" s="150"/>
      <c r="V1020" s="150"/>
      <c r="W1020" s="150"/>
      <c r="X1020" s="150"/>
      <c r="Y1020" s="150"/>
      <c r="Z1020" s="150"/>
      <c r="AA1020" s="150"/>
      <c r="AB1020" s="150"/>
      <c r="AC1020" s="150"/>
    </row>
    <row r="1021" spans="1:29" ht="18.75" customHeight="1" x14ac:dyDescent="0.25">
      <c r="M1021" s="158"/>
      <c r="N1021" s="175"/>
      <c r="O1021" s="524" t="s">
        <v>88</v>
      </c>
      <c r="P1021" s="525"/>
      <c r="Q1021" s="525"/>
      <c r="R1021" s="526"/>
      <c r="S1021" s="161"/>
      <c r="T1021" s="524" t="s">
        <v>89</v>
      </c>
      <c r="U1021" s="525"/>
      <c r="V1021" s="525"/>
      <c r="W1021" s="525"/>
      <c r="X1021" s="525"/>
      <c r="Y1021" s="526"/>
      <c r="Z1021" s="162"/>
      <c r="AA1021" s="150"/>
      <c r="AB1021" s="150"/>
      <c r="AC1021" s="150"/>
    </row>
    <row r="1022" spans="1:29" ht="18.75" customHeight="1" thickBot="1" x14ac:dyDescent="0.3">
      <c r="M1022" s="158"/>
      <c r="N1022" s="214"/>
      <c r="O1022" s="169" t="s">
        <v>91</v>
      </c>
      <c r="P1022" s="169" t="s">
        <v>92</v>
      </c>
      <c r="Q1022" s="169" t="s">
        <v>93</v>
      </c>
      <c r="R1022" s="169" t="s">
        <v>94</v>
      </c>
      <c r="S1022" s="170"/>
      <c r="T1022" s="169" t="s">
        <v>91</v>
      </c>
      <c r="U1022" s="169" t="s">
        <v>95</v>
      </c>
      <c r="V1022" s="169" t="s">
        <v>9</v>
      </c>
      <c r="W1022" s="169" t="s">
        <v>10</v>
      </c>
      <c r="X1022" s="169" t="s">
        <v>11</v>
      </c>
      <c r="Y1022" s="169" t="s">
        <v>96</v>
      </c>
      <c r="Z1022" s="171"/>
      <c r="AA1022" s="150"/>
      <c r="AB1022" s="150"/>
      <c r="AC1022" s="150"/>
    </row>
    <row r="1023" spans="1:29" ht="27.75" customHeight="1" thickBot="1" x14ac:dyDescent="0.3">
      <c r="M1023" s="150"/>
      <c r="N1023" s="150"/>
      <c r="O1023" s="176" t="s">
        <v>98</v>
      </c>
      <c r="P1023" s="176"/>
      <c r="Q1023" s="176"/>
      <c r="R1023" s="176"/>
      <c r="S1023" s="177"/>
      <c r="T1023" s="176" t="s">
        <v>98</v>
      </c>
      <c r="U1023" s="178"/>
      <c r="V1023" s="178"/>
      <c r="W1023" s="178">
        <f>V1023+U1023</f>
        <v>0</v>
      </c>
      <c r="X1023" s="178"/>
      <c r="Y1023" s="178">
        <f>W1023-X1023</f>
        <v>0</v>
      </c>
      <c r="Z1023" s="171"/>
      <c r="AA1023" s="150"/>
      <c r="AB1023" s="150"/>
      <c r="AC1023" s="150"/>
    </row>
    <row r="1024" spans="1:29" ht="27.75" customHeight="1" x14ac:dyDescent="0.25">
      <c r="A1024" s="540" t="s">
        <v>87</v>
      </c>
      <c r="B1024" s="538"/>
      <c r="C1024" s="538"/>
      <c r="D1024" s="538"/>
      <c r="E1024" s="538"/>
      <c r="F1024" s="538"/>
      <c r="G1024" s="538"/>
      <c r="H1024" s="538"/>
      <c r="I1024" s="538"/>
      <c r="J1024" s="538"/>
      <c r="K1024" s="538"/>
      <c r="L1024" s="539"/>
      <c r="M1024" s="159"/>
      <c r="N1024" s="160"/>
      <c r="O1024" s="176" t="s">
        <v>100</v>
      </c>
      <c r="P1024" s="176"/>
      <c r="Q1024" s="176"/>
      <c r="R1024" s="176" t="str">
        <f t="shared" ref="R1024:R1025" si="315">IF(Q1024="","",R1023-Q1024)</f>
        <v/>
      </c>
      <c r="S1024" s="156"/>
      <c r="T1024" s="176" t="s">
        <v>100</v>
      </c>
      <c r="U1024" s="182">
        <f>Y1023</f>
        <v>0</v>
      </c>
      <c r="V1024" s="178"/>
      <c r="W1024" s="182">
        <f t="shared" ref="W1024:W1032" si="316">IF(U1024="","",U1024+V1024)</f>
        <v>0</v>
      </c>
      <c r="X1024" s="178"/>
      <c r="Y1024" s="182">
        <f t="shared" ref="Y1024:Y1034" si="317">IF(W1024="","",W1024-X1024)</f>
        <v>0</v>
      </c>
      <c r="Z1024" s="183"/>
      <c r="AA1024" s="150"/>
      <c r="AB1024" s="150"/>
      <c r="AC1024" s="150"/>
    </row>
    <row r="1025" spans="1:29" ht="27.75" customHeight="1" x14ac:dyDescent="0.25">
      <c r="A1025" s="163"/>
      <c r="B1025" s="149"/>
      <c r="C1025" s="535" t="s">
        <v>90</v>
      </c>
      <c r="D1025" s="531"/>
      <c r="E1025" s="531"/>
      <c r="F1025" s="531"/>
      <c r="G1025" s="164" t="str">
        <f>$J$1</f>
        <v>September</v>
      </c>
      <c r="H1025" s="536">
        <f>$K$1</f>
        <v>2024</v>
      </c>
      <c r="I1025" s="531"/>
      <c r="J1025" s="149"/>
      <c r="K1025" s="165"/>
      <c r="L1025" s="166"/>
      <c r="M1025" s="167"/>
      <c r="N1025" s="168"/>
      <c r="O1025" s="176" t="s">
        <v>103</v>
      </c>
      <c r="P1025" s="176"/>
      <c r="Q1025" s="176"/>
      <c r="R1025" s="176" t="str">
        <f t="shared" si="315"/>
        <v/>
      </c>
      <c r="S1025" s="156"/>
      <c r="T1025" s="176" t="s">
        <v>103</v>
      </c>
      <c r="U1025" s="182">
        <f t="shared" ref="U1025:U1026" si="318">IF($J$1="April",Y1024,Y1024)</f>
        <v>0</v>
      </c>
      <c r="V1025" s="178"/>
      <c r="W1025" s="182">
        <f t="shared" si="316"/>
        <v>0</v>
      </c>
      <c r="X1025" s="178"/>
      <c r="Y1025" s="182">
        <f t="shared" si="317"/>
        <v>0</v>
      </c>
      <c r="Z1025" s="183"/>
      <c r="AA1025" s="150"/>
      <c r="AB1025" s="150"/>
      <c r="AC1025" s="150"/>
    </row>
    <row r="1026" spans="1:29" ht="18.75" customHeight="1" x14ac:dyDescent="0.25">
      <c r="A1026" s="163"/>
      <c r="B1026" s="149"/>
      <c r="C1026" s="149"/>
      <c r="D1026" s="172"/>
      <c r="E1026" s="172"/>
      <c r="F1026" s="172"/>
      <c r="G1026" s="172"/>
      <c r="H1026" s="172"/>
      <c r="I1026" s="149"/>
      <c r="J1026" s="173" t="s">
        <v>97</v>
      </c>
      <c r="K1026" s="151">
        <f>25000+3000</f>
        <v>28000</v>
      </c>
      <c r="L1026" s="174"/>
      <c r="M1026" s="158"/>
      <c r="N1026" s="175"/>
      <c r="O1026" s="176" t="s">
        <v>104</v>
      </c>
      <c r="P1026" s="176"/>
      <c r="Q1026" s="176"/>
      <c r="R1026" s="176">
        <v>0</v>
      </c>
      <c r="S1026" s="156"/>
      <c r="T1026" s="176" t="s">
        <v>104</v>
      </c>
      <c r="U1026" s="182">
        <f t="shared" si="318"/>
        <v>0</v>
      </c>
      <c r="V1026" s="178"/>
      <c r="W1026" s="182">
        <f t="shared" si="316"/>
        <v>0</v>
      </c>
      <c r="X1026" s="178"/>
      <c r="Y1026" s="182">
        <f t="shared" si="317"/>
        <v>0</v>
      </c>
      <c r="Z1026" s="183"/>
      <c r="AA1026" s="150"/>
      <c r="AB1026" s="150"/>
      <c r="AC1026" s="150"/>
    </row>
    <row r="1027" spans="1:29" ht="18.75" customHeight="1" x14ac:dyDescent="0.25">
      <c r="A1027" s="163"/>
      <c r="B1027" s="149" t="s">
        <v>99</v>
      </c>
      <c r="C1027" s="148" t="s">
        <v>310</v>
      </c>
      <c r="D1027" s="149"/>
      <c r="E1027" s="149"/>
      <c r="F1027" s="149"/>
      <c r="G1027" s="149"/>
      <c r="H1027" s="179"/>
      <c r="I1027" s="172"/>
      <c r="J1027" s="149"/>
      <c r="K1027" s="149"/>
      <c r="L1027" s="180"/>
      <c r="M1027" s="159"/>
      <c r="N1027" s="181"/>
      <c r="O1027" s="176" t="s">
        <v>107</v>
      </c>
      <c r="P1027" s="176"/>
      <c r="Q1027" s="176"/>
      <c r="R1027" s="176">
        <v>0</v>
      </c>
      <c r="S1027" s="156"/>
      <c r="T1027" s="176" t="s">
        <v>107</v>
      </c>
      <c r="U1027" s="182">
        <f t="shared" ref="U1027:U1030" si="319">IF($J$1="May",Y1026,Y1026)</f>
        <v>0</v>
      </c>
      <c r="V1027" s="178"/>
      <c r="W1027" s="182">
        <f t="shared" si="316"/>
        <v>0</v>
      </c>
      <c r="X1027" s="178"/>
      <c r="Y1027" s="182">
        <f t="shared" si="317"/>
        <v>0</v>
      </c>
      <c r="Z1027" s="183"/>
      <c r="AA1027" s="150"/>
      <c r="AB1027" s="150"/>
      <c r="AC1027" s="150"/>
    </row>
    <row r="1028" spans="1:29" ht="18.75" customHeight="1" x14ac:dyDescent="0.25">
      <c r="A1028" s="163"/>
      <c r="B1028" s="184" t="s">
        <v>101</v>
      </c>
      <c r="C1028" s="210"/>
      <c r="D1028" s="149"/>
      <c r="E1028" s="149"/>
      <c r="F1028" s="529" t="s">
        <v>89</v>
      </c>
      <c r="G1028" s="503"/>
      <c r="H1028" s="149"/>
      <c r="I1028" s="529" t="s">
        <v>102</v>
      </c>
      <c r="J1028" s="502"/>
      <c r="K1028" s="503"/>
      <c r="L1028" s="186"/>
      <c r="M1028" s="158"/>
      <c r="N1028" s="175"/>
      <c r="O1028" s="176" t="s">
        <v>84</v>
      </c>
      <c r="P1028" s="176"/>
      <c r="Q1028" s="176"/>
      <c r="R1028" s="176">
        <v>0</v>
      </c>
      <c r="S1028" s="156"/>
      <c r="T1028" s="176" t="s">
        <v>84</v>
      </c>
      <c r="U1028" s="182">
        <f t="shared" si="319"/>
        <v>0</v>
      </c>
      <c r="V1028" s="178"/>
      <c r="W1028" s="182">
        <f t="shared" si="316"/>
        <v>0</v>
      </c>
      <c r="X1028" s="178"/>
      <c r="Y1028" s="182">
        <f t="shared" si="317"/>
        <v>0</v>
      </c>
      <c r="Z1028" s="183"/>
      <c r="AA1028" s="150"/>
      <c r="AB1028" s="150"/>
      <c r="AC1028" s="150"/>
    </row>
    <row r="1029" spans="1:29" ht="18.75" customHeight="1" x14ac:dyDescent="0.25">
      <c r="A1029" s="163"/>
      <c r="B1029" s="149"/>
      <c r="C1029" s="149"/>
      <c r="D1029" s="149"/>
      <c r="E1029" s="149"/>
      <c r="F1029" s="149"/>
      <c r="G1029" s="149"/>
      <c r="H1029" s="187"/>
      <c r="I1029" s="149"/>
      <c r="J1029" s="149"/>
      <c r="K1029" s="149"/>
      <c r="L1029" s="188"/>
      <c r="M1029" s="158"/>
      <c r="N1029" s="175"/>
      <c r="O1029" s="176" t="s">
        <v>111</v>
      </c>
      <c r="P1029" s="176">
        <v>9</v>
      </c>
      <c r="Q1029" s="176">
        <v>0</v>
      </c>
      <c r="R1029" s="176">
        <v>0</v>
      </c>
      <c r="S1029" s="156"/>
      <c r="T1029" s="176" t="s">
        <v>111</v>
      </c>
      <c r="U1029" s="182">
        <f t="shared" si="319"/>
        <v>0</v>
      </c>
      <c r="V1029" s="178"/>
      <c r="W1029" s="182">
        <f t="shared" si="316"/>
        <v>0</v>
      </c>
      <c r="X1029" s="178"/>
      <c r="Y1029" s="182">
        <f t="shared" si="317"/>
        <v>0</v>
      </c>
      <c r="Z1029" s="183"/>
      <c r="AA1029" s="150"/>
      <c r="AB1029" s="150"/>
      <c r="AC1029" s="150"/>
    </row>
    <row r="1030" spans="1:29" ht="18.75" customHeight="1" x14ac:dyDescent="0.25">
      <c r="A1030" s="163"/>
      <c r="B1030" s="527" t="s">
        <v>88</v>
      </c>
      <c r="C1030" s="503"/>
      <c r="D1030" s="149"/>
      <c r="E1030" s="149"/>
      <c r="F1030" s="189" t="s">
        <v>105</v>
      </c>
      <c r="G1030" s="190">
        <f>IF($J$1="January",U1023,IF($J$1="February",U1024,IF($J$1="March",U1025,IF($J$1="April",U1026,IF($J$1="May",U1027,IF($J$1="June",U1028,IF($J$1="July",U1029,IF($J$1="August",U1030,IF($J$1="August",U1030,IF($J$1="September",U1031,IF($J$1="October",U1032,IF($J$1="November",U1033,IF($J$1="December",U1034)))))))))))))</f>
        <v>13000</v>
      </c>
      <c r="H1030" s="187"/>
      <c r="I1030" s="191">
        <v>27</v>
      </c>
      <c r="J1030" s="192" t="s">
        <v>106</v>
      </c>
      <c r="K1030" s="193">
        <f>K1026/$K$2*I1030</f>
        <v>25200</v>
      </c>
      <c r="L1030" s="194"/>
      <c r="M1030" s="158"/>
      <c r="N1030" s="175"/>
      <c r="O1030" s="176" t="s">
        <v>113</v>
      </c>
      <c r="P1030" s="176">
        <v>30</v>
      </c>
      <c r="Q1030" s="176">
        <v>1</v>
      </c>
      <c r="R1030" s="176">
        <v>0</v>
      </c>
      <c r="S1030" s="156"/>
      <c r="T1030" s="176" t="s">
        <v>113</v>
      </c>
      <c r="U1030" s="182">
        <f t="shared" si="319"/>
        <v>0</v>
      </c>
      <c r="V1030" s="178">
        <v>15000</v>
      </c>
      <c r="W1030" s="182">
        <f t="shared" si="316"/>
        <v>15000</v>
      </c>
      <c r="X1030" s="178">
        <v>2000</v>
      </c>
      <c r="Y1030" s="182">
        <f t="shared" si="317"/>
        <v>13000</v>
      </c>
      <c r="Z1030" s="183"/>
      <c r="AA1030" s="150"/>
      <c r="AB1030" s="150"/>
      <c r="AC1030" s="150"/>
    </row>
    <row r="1031" spans="1:29" ht="18.75" customHeight="1" x14ac:dyDescent="0.25">
      <c r="A1031" s="163"/>
      <c r="B1031" s="195"/>
      <c r="C1031" s="195"/>
      <c r="D1031" s="149"/>
      <c r="E1031" s="149"/>
      <c r="F1031" s="189" t="s">
        <v>9</v>
      </c>
      <c r="G1031" s="190">
        <f>IF($J$1="January",V1023,IF($J$1="February",V1024,IF($J$1="March",V1025,IF($J$1="April",V1026,IF($J$1="May",V1027,IF($J$1="June",V1028,IF($J$1="July",V1029,IF($J$1="August",V1030,IF($J$1="August",V1030,IF($J$1="September",V1031,IF($J$1="October",V1032,IF($J$1="November",V1033,IF($J$1="December",V1034)))))))))))))</f>
        <v>0</v>
      </c>
      <c r="H1031" s="187"/>
      <c r="I1031" s="211"/>
      <c r="J1031" s="192" t="s">
        <v>108</v>
      </c>
      <c r="K1031" s="190">
        <f>K1026/$K$2/8*I1031</f>
        <v>0</v>
      </c>
      <c r="L1031" s="196"/>
      <c r="M1031" s="158"/>
      <c r="N1031" s="175"/>
      <c r="O1031" s="176" t="s">
        <v>116</v>
      </c>
      <c r="P1031" s="176">
        <v>27</v>
      </c>
      <c r="Q1031" s="176">
        <v>3</v>
      </c>
      <c r="R1031" s="176">
        <v>0</v>
      </c>
      <c r="S1031" s="156"/>
      <c r="T1031" s="176" t="s">
        <v>116</v>
      </c>
      <c r="U1031" s="182">
        <f>Y1030</f>
        <v>13000</v>
      </c>
      <c r="V1031" s="178"/>
      <c r="W1031" s="182">
        <f t="shared" si="316"/>
        <v>13000</v>
      </c>
      <c r="X1031" s="178">
        <v>2000</v>
      </c>
      <c r="Y1031" s="182">
        <f t="shared" si="317"/>
        <v>11000</v>
      </c>
      <c r="Z1031" s="183"/>
      <c r="AA1031" s="150"/>
      <c r="AB1031" s="150"/>
      <c r="AC1031" s="150"/>
    </row>
    <row r="1032" spans="1:29" ht="18.75" customHeight="1" x14ac:dyDescent="0.25">
      <c r="A1032" s="163"/>
      <c r="B1032" s="189" t="s">
        <v>92</v>
      </c>
      <c r="C1032" s="195">
        <f>IF($J$1="January",P1023,IF($J$1="February",P1024,IF($J$1="March",P1025,IF($J$1="April",P1026,IF($J$1="May",P1027,IF($J$1="June",P1028,IF($J$1="July",P1029,IF($J$1="August",P1030,IF($J$1="August",P1030,IF($J$1="September",P1031,IF($J$1="October",P1032,IF($J$1="November",P1033,IF($J$1="December",P1034)))))))))))))</f>
        <v>27</v>
      </c>
      <c r="D1032" s="149"/>
      <c r="E1032" s="149"/>
      <c r="F1032" s="189" t="s">
        <v>109</v>
      </c>
      <c r="G1032" s="190">
        <f>IF($J$1="January",W1023,IF($J$1="February",W1024,IF($J$1="March",W1025,IF($J$1="April",W1026,IF($J$1="May",W1027,IF($J$1="June",W1028,IF($J$1="July",W1029,IF($J$1="August",W1030,IF($J$1="August",W1030,IF($J$1="September",W1031,IF($J$1="October",W1032,IF($J$1="November",W1033,IF($J$1="December",W1034)))))))))))))</f>
        <v>13000</v>
      </c>
      <c r="H1032" s="187"/>
      <c r="I1032" s="528" t="s">
        <v>110</v>
      </c>
      <c r="J1032" s="503"/>
      <c r="K1032" s="190">
        <f>K1030+K1031</f>
        <v>25200</v>
      </c>
      <c r="L1032" s="196"/>
      <c r="M1032" s="158"/>
      <c r="N1032" s="175"/>
      <c r="O1032" s="176" t="s">
        <v>117</v>
      </c>
      <c r="P1032" s="176"/>
      <c r="Q1032" s="176"/>
      <c r="R1032" s="176" t="str">
        <f t="shared" ref="R1032:R1034" si="320">IF(Q1032="","",R1031-Q1032)</f>
        <v/>
      </c>
      <c r="S1032" s="156"/>
      <c r="T1032" s="176" t="s">
        <v>117</v>
      </c>
      <c r="U1032" s="182"/>
      <c r="V1032" s="178"/>
      <c r="W1032" s="182" t="str">
        <f t="shared" si="316"/>
        <v/>
      </c>
      <c r="X1032" s="178"/>
      <c r="Y1032" s="182" t="str">
        <f t="shared" si="317"/>
        <v/>
      </c>
      <c r="Z1032" s="183"/>
      <c r="AA1032" s="150"/>
      <c r="AB1032" s="150"/>
      <c r="AC1032" s="150"/>
    </row>
    <row r="1033" spans="1:29" ht="18.75" customHeight="1" x14ac:dyDescent="0.25">
      <c r="A1033" s="163"/>
      <c r="B1033" s="189" t="s">
        <v>93</v>
      </c>
      <c r="C1033" s="195">
        <f>IF($J$1="January",Q1023,IF($J$1="February",Q1024,IF($J$1="March",Q1025,IF($J$1="April",Q1026,IF($J$1="May",Q1027,IF($J$1="June",Q1028,IF($J$1="July",Q1029,IF($J$1="August",Q1030,IF($J$1="August",Q1030,IF($J$1="September",Q1031,IF($J$1="October",Q1032,IF($J$1="November",Q1033,IF($J$1="December",Q1034)))))))))))))</f>
        <v>3</v>
      </c>
      <c r="D1033" s="149"/>
      <c r="E1033" s="149"/>
      <c r="F1033" s="189" t="s">
        <v>11</v>
      </c>
      <c r="G1033" s="190">
        <f>IF($J$1="January",X1023,IF($J$1="February",X1024,IF($J$1="March",X1025,IF($J$1="April",X1026,IF($J$1="May",X1027,IF($J$1="June",X1028,IF($J$1="July",X1029,IF($J$1="August",X1030,IF($J$1="August",X1030,IF($J$1="September",X1031,IF($J$1="October",X1032,IF($J$1="November",X1033,IF($J$1="December",X1034)))))))))))))</f>
        <v>2000</v>
      </c>
      <c r="H1033" s="187"/>
      <c r="I1033" s="528" t="s">
        <v>112</v>
      </c>
      <c r="J1033" s="503"/>
      <c r="K1033" s="190">
        <f>G1033</f>
        <v>2000</v>
      </c>
      <c r="L1033" s="196"/>
      <c r="M1033" s="158"/>
      <c r="N1033" s="175"/>
      <c r="O1033" s="176" t="s">
        <v>118</v>
      </c>
      <c r="P1033" s="176"/>
      <c r="Q1033" s="176"/>
      <c r="R1033" s="176" t="str">
        <f t="shared" si="320"/>
        <v/>
      </c>
      <c r="S1033" s="156"/>
      <c r="T1033" s="176" t="s">
        <v>118</v>
      </c>
      <c r="U1033" s="182"/>
      <c r="V1033" s="178"/>
      <c r="W1033" s="182" t="str">
        <f t="shared" ref="W1033:W1034" si="321">IF(U1033="","",U1033+V1033)</f>
        <v/>
      </c>
      <c r="X1033" s="178"/>
      <c r="Y1033" s="182" t="str">
        <f t="shared" si="317"/>
        <v/>
      </c>
      <c r="Z1033" s="183"/>
      <c r="AA1033" s="150"/>
      <c r="AB1033" s="150"/>
      <c r="AC1033" s="150"/>
    </row>
    <row r="1034" spans="1:29" ht="18.75" customHeight="1" x14ac:dyDescent="0.25">
      <c r="A1034" s="163"/>
      <c r="B1034" s="212" t="s">
        <v>114</v>
      </c>
      <c r="C1034" s="195">
        <f>IF($J$1="January",R1023,IF($J$1="February",R1024,IF($J$1="March",R1025,IF($J$1="April",R1026,IF($J$1="May",R1027,IF($J$1="June",R1028,IF($J$1="July",R1029,IF($J$1="August",R1030,IF($J$1="August",R1030,IF($J$1="September",R1031,IF($J$1="October",R1032,IF($J$1="November",R1033,IF($J$1="December",R1034)))))))))))))</f>
        <v>0</v>
      </c>
      <c r="D1034" s="149"/>
      <c r="E1034" s="149"/>
      <c r="F1034" s="189" t="s">
        <v>167</v>
      </c>
      <c r="G1034" s="190">
        <f>IF($J$1="January",Y1023,IF($J$1="February",Y1024,IF($J$1="March",Y1025,IF($J$1="April",Y1026,IF($J$1="May",Y1027,IF($J$1="June",Y1028,IF($J$1="July",Y1029,IF($J$1="August",Y1030,IF($J$1="August",Y1030,IF($J$1="September",Y1031,IF($J$1="October",Y1032,IF($J$1="November",Y1033,IF($J$1="December",Y1034)))))))))))))</f>
        <v>11000</v>
      </c>
      <c r="H1034" s="149"/>
      <c r="I1034" s="529" t="s">
        <v>13</v>
      </c>
      <c r="J1034" s="503"/>
      <c r="K1034" s="37">
        <f>K1032-K1033</f>
        <v>23200</v>
      </c>
      <c r="L1034" s="180"/>
      <c r="M1034" s="158"/>
      <c r="N1034" s="175"/>
      <c r="O1034" s="176" t="s">
        <v>119</v>
      </c>
      <c r="P1034" s="176"/>
      <c r="Q1034" s="176"/>
      <c r="R1034" s="176" t="str">
        <f t="shared" si="320"/>
        <v/>
      </c>
      <c r="S1034" s="156"/>
      <c r="T1034" s="176" t="s">
        <v>119</v>
      </c>
      <c r="U1034" s="182" t="str">
        <f>IF($J$1="Dec",Y1033,"")</f>
        <v/>
      </c>
      <c r="V1034" s="178"/>
      <c r="W1034" s="182" t="str">
        <f t="shared" si="321"/>
        <v/>
      </c>
      <c r="X1034" s="178"/>
      <c r="Y1034" s="182" t="str">
        <f t="shared" si="317"/>
        <v/>
      </c>
      <c r="Z1034" s="183"/>
      <c r="AA1034" s="150"/>
      <c r="AB1034" s="150"/>
      <c r="AC1034" s="150"/>
    </row>
    <row r="1035" spans="1:29" ht="18.75" customHeight="1" thickBot="1" x14ac:dyDescent="0.3">
      <c r="A1035" s="163"/>
      <c r="B1035" s="149"/>
      <c r="C1035" s="149"/>
      <c r="D1035" s="149"/>
      <c r="E1035" s="149"/>
      <c r="F1035" s="149"/>
      <c r="G1035" s="149"/>
      <c r="H1035" s="149"/>
      <c r="I1035" s="530"/>
      <c r="J1035" s="531"/>
      <c r="K1035" s="151"/>
      <c r="L1035" s="186"/>
      <c r="M1035" s="158"/>
      <c r="N1035" s="175"/>
      <c r="O1035" s="215"/>
      <c r="P1035" s="215"/>
      <c r="Q1035" s="215"/>
      <c r="R1035" s="215"/>
      <c r="S1035" s="215"/>
      <c r="T1035" s="215"/>
      <c r="U1035" s="215"/>
      <c r="V1035" s="215"/>
      <c r="W1035" s="215"/>
      <c r="X1035" s="215"/>
      <c r="Y1035" s="215"/>
      <c r="Z1035" s="218"/>
      <c r="AA1035" s="150"/>
      <c r="AB1035" s="150"/>
      <c r="AC1035" s="150"/>
    </row>
    <row r="1036" spans="1:29" ht="18.75" customHeight="1" thickBot="1" x14ac:dyDescent="0.35">
      <c r="A1036" s="163"/>
      <c r="B1036" s="147"/>
      <c r="C1036" s="147"/>
      <c r="D1036" s="147"/>
      <c r="E1036" s="147"/>
      <c r="F1036" s="147"/>
      <c r="G1036" s="147"/>
      <c r="H1036" s="147"/>
      <c r="I1036" s="530"/>
      <c r="J1036" s="531"/>
      <c r="K1036" s="151"/>
      <c r="L1036" s="186"/>
      <c r="M1036" s="158"/>
      <c r="N1036" s="175"/>
      <c r="O1036" s="150"/>
      <c r="P1036" s="150"/>
      <c r="Q1036" s="150"/>
      <c r="R1036" s="150"/>
      <c r="S1036" s="150"/>
      <c r="T1036" s="150"/>
      <c r="U1036" s="150"/>
      <c r="V1036" s="150"/>
      <c r="W1036" s="150"/>
      <c r="X1036" s="150"/>
      <c r="Y1036" s="150"/>
      <c r="Z1036" s="150"/>
      <c r="AA1036" s="150"/>
      <c r="AB1036" s="150"/>
      <c r="AC1036" s="150"/>
    </row>
    <row r="1037" spans="1:29" ht="18.75" customHeight="1" x14ac:dyDescent="0.3">
      <c r="A1037" s="163"/>
      <c r="B1037" s="147"/>
      <c r="C1037" s="147"/>
      <c r="D1037" s="147"/>
      <c r="E1037" s="147"/>
      <c r="F1037" s="147"/>
      <c r="G1037" s="147"/>
      <c r="H1037" s="147"/>
      <c r="I1037" s="147"/>
      <c r="J1037" s="147"/>
      <c r="K1037" s="147"/>
      <c r="L1037" s="186"/>
      <c r="M1037" s="158"/>
      <c r="N1037" s="175"/>
      <c r="O1037" s="524" t="s">
        <v>88</v>
      </c>
      <c r="P1037" s="525"/>
      <c r="Q1037" s="525"/>
      <c r="R1037" s="526"/>
      <c r="S1037" s="161"/>
      <c r="T1037" s="524" t="s">
        <v>89</v>
      </c>
      <c r="U1037" s="525"/>
      <c r="V1037" s="525"/>
      <c r="W1037" s="525"/>
      <c r="X1037" s="525"/>
      <c r="Y1037" s="526"/>
      <c r="Z1037" s="162"/>
      <c r="AA1037" s="150"/>
      <c r="AB1037" s="150"/>
      <c r="AC1037" s="150"/>
    </row>
    <row r="1038" spans="1:29" ht="18.75" customHeight="1" thickBot="1" x14ac:dyDescent="0.3">
      <c r="A1038" s="197"/>
      <c r="B1038" s="213"/>
      <c r="C1038" s="213"/>
      <c r="D1038" s="213"/>
      <c r="E1038" s="213"/>
      <c r="F1038" s="213"/>
      <c r="G1038" s="213"/>
      <c r="H1038" s="213"/>
      <c r="I1038" s="213"/>
      <c r="J1038" s="213"/>
      <c r="K1038" s="213"/>
      <c r="L1038" s="199"/>
      <c r="M1038" s="158"/>
      <c r="N1038" s="214"/>
      <c r="O1038" s="169" t="s">
        <v>91</v>
      </c>
      <c r="P1038" s="169" t="s">
        <v>92</v>
      </c>
      <c r="Q1038" s="169" t="s">
        <v>93</v>
      </c>
      <c r="R1038" s="169" t="s">
        <v>94</v>
      </c>
      <c r="S1038" s="170"/>
      <c r="T1038" s="169" t="s">
        <v>91</v>
      </c>
      <c r="U1038" s="169" t="s">
        <v>95</v>
      </c>
      <c r="V1038" s="169" t="s">
        <v>9</v>
      </c>
      <c r="W1038" s="169" t="s">
        <v>10</v>
      </c>
      <c r="X1038" s="169" t="s">
        <v>11</v>
      </c>
      <c r="Y1038" s="169" t="s">
        <v>96</v>
      </c>
      <c r="Z1038" s="171"/>
      <c r="AA1038" s="150"/>
      <c r="AB1038" s="150"/>
      <c r="AC1038" s="150"/>
    </row>
    <row r="1039" spans="1:29" ht="27.75" customHeight="1" thickBot="1" x14ac:dyDescent="0.3">
      <c r="M1039" s="150"/>
      <c r="N1039" s="150"/>
      <c r="O1039" s="176" t="s">
        <v>98</v>
      </c>
      <c r="P1039" s="176"/>
      <c r="Q1039" s="176"/>
      <c r="R1039" s="176"/>
      <c r="S1039" s="177"/>
      <c r="T1039" s="176" t="s">
        <v>98</v>
      </c>
      <c r="U1039" s="178"/>
      <c r="V1039" s="178"/>
      <c r="W1039" s="178">
        <f>V1039+U1039</f>
        <v>0</v>
      </c>
      <c r="X1039" s="178"/>
      <c r="Y1039" s="178">
        <f>W1039-X1039</f>
        <v>0</v>
      </c>
      <c r="Z1039" s="171"/>
      <c r="AA1039" s="150"/>
      <c r="AB1039" s="150"/>
      <c r="AC1039" s="150"/>
    </row>
    <row r="1040" spans="1:29" ht="27.75" customHeight="1" x14ac:dyDescent="0.25">
      <c r="A1040" s="537" t="s">
        <v>87</v>
      </c>
      <c r="B1040" s="538"/>
      <c r="C1040" s="538"/>
      <c r="D1040" s="538"/>
      <c r="E1040" s="538"/>
      <c r="F1040" s="538"/>
      <c r="G1040" s="538"/>
      <c r="H1040" s="538"/>
      <c r="I1040" s="538"/>
      <c r="J1040" s="538"/>
      <c r="K1040" s="538"/>
      <c r="L1040" s="539"/>
      <c r="M1040" s="159"/>
      <c r="N1040" s="160"/>
      <c r="O1040" s="176" t="s">
        <v>100</v>
      </c>
      <c r="P1040" s="176"/>
      <c r="Q1040" s="176"/>
      <c r="R1040" s="176" t="str">
        <f t="shared" ref="R1040:R1041" si="322">IF(Q1040="","",R1039-Q1040)</f>
        <v/>
      </c>
      <c r="S1040" s="156"/>
      <c r="T1040" s="176" t="s">
        <v>100</v>
      </c>
      <c r="U1040" s="182">
        <f>Y1039</f>
        <v>0</v>
      </c>
      <c r="V1040" s="178"/>
      <c r="W1040" s="182">
        <f t="shared" ref="W1040:W1046" si="323">IF(U1040="","",U1040+V1040)</f>
        <v>0</v>
      </c>
      <c r="X1040" s="178"/>
      <c r="Y1040" s="182">
        <f t="shared" ref="Y1040:Y1050" si="324">IF(W1040="","",W1040-X1040)</f>
        <v>0</v>
      </c>
      <c r="Z1040" s="183"/>
      <c r="AA1040" s="150"/>
      <c r="AB1040" s="150"/>
      <c r="AC1040" s="150"/>
    </row>
    <row r="1041" spans="1:29" ht="27.75" customHeight="1" x14ac:dyDescent="0.25">
      <c r="A1041" s="163"/>
      <c r="B1041" s="149"/>
      <c r="C1041" s="535" t="s">
        <v>90</v>
      </c>
      <c r="D1041" s="531"/>
      <c r="E1041" s="531"/>
      <c r="F1041" s="531"/>
      <c r="G1041" s="164" t="str">
        <f>$J$1</f>
        <v>September</v>
      </c>
      <c r="H1041" s="536">
        <f>$K$1</f>
        <v>2024</v>
      </c>
      <c r="I1041" s="531"/>
      <c r="J1041" s="149"/>
      <c r="K1041" s="165"/>
      <c r="L1041" s="166"/>
      <c r="M1041" s="167"/>
      <c r="N1041" s="168"/>
      <c r="O1041" s="176" t="s">
        <v>103</v>
      </c>
      <c r="P1041" s="176"/>
      <c r="Q1041" s="176"/>
      <c r="R1041" s="176" t="str">
        <f t="shared" si="322"/>
        <v/>
      </c>
      <c r="S1041" s="156"/>
      <c r="T1041" s="176" t="s">
        <v>103</v>
      </c>
      <c r="U1041" s="182">
        <f t="shared" ref="U1041:U1042" si="325">IF($J$1="April",Y1040,Y1040)</f>
        <v>0</v>
      </c>
      <c r="V1041" s="178"/>
      <c r="W1041" s="182">
        <f t="shared" si="323"/>
        <v>0</v>
      </c>
      <c r="X1041" s="178"/>
      <c r="Y1041" s="182">
        <f t="shared" si="324"/>
        <v>0</v>
      </c>
      <c r="Z1041" s="183"/>
      <c r="AA1041" s="150"/>
      <c r="AB1041" s="150"/>
      <c r="AC1041" s="150"/>
    </row>
    <row r="1042" spans="1:29" ht="18.75" customHeight="1" x14ac:dyDescent="0.25">
      <c r="A1042" s="163"/>
      <c r="B1042" s="149"/>
      <c r="C1042" s="149"/>
      <c r="D1042" s="172"/>
      <c r="E1042" s="172"/>
      <c r="F1042" s="172"/>
      <c r="G1042" s="172"/>
      <c r="H1042" s="172"/>
      <c r="I1042" s="149"/>
      <c r="J1042" s="173" t="s">
        <v>97</v>
      </c>
      <c r="K1042" s="151">
        <v>75000</v>
      </c>
      <c r="L1042" s="174"/>
      <c r="M1042" s="158"/>
      <c r="N1042" s="175"/>
      <c r="O1042" s="176" t="s">
        <v>104</v>
      </c>
      <c r="P1042" s="176"/>
      <c r="Q1042" s="176"/>
      <c r="R1042" s="176">
        <v>0</v>
      </c>
      <c r="S1042" s="156"/>
      <c r="T1042" s="176" t="s">
        <v>104</v>
      </c>
      <c r="U1042" s="182">
        <f t="shared" si="325"/>
        <v>0</v>
      </c>
      <c r="V1042" s="178"/>
      <c r="W1042" s="182">
        <f t="shared" si="323"/>
        <v>0</v>
      </c>
      <c r="X1042" s="178"/>
      <c r="Y1042" s="182">
        <f t="shared" si="324"/>
        <v>0</v>
      </c>
      <c r="Z1042" s="183"/>
      <c r="AA1042" s="150"/>
      <c r="AB1042" s="150"/>
      <c r="AC1042" s="150"/>
    </row>
    <row r="1043" spans="1:29" ht="18.75" customHeight="1" x14ac:dyDescent="0.25">
      <c r="A1043" s="163"/>
      <c r="B1043" s="149" t="s">
        <v>99</v>
      </c>
      <c r="C1043" s="148" t="s">
        <v>304</v>
      </c>
      <c r="D1043" s="149"/>
      <c r="E1043" s="149"/>
      <c r="F1043" s="149"/>
      <c r="G1043" s="149"/>
      <c r="H1043" s="179"/>
      <c r="I1043" s="172"/>
      <c r="J1043" s="149"/>
      <c r="K1043" s="149"/>
      <c r="L1043" s="180"/>
      <c r="M1043" s="159"/>
      <c r="N1043" s="181"/>
      <c r="O1043" s="176" t="s">
        <v>107</v>
      </c>
      <c r="P1043" s="176"/>
      <c r="Q1043" s="176"/>
      <c r="R1043" s="176">
        <v>0</v>
      </c>
      <c r="S1043" s="156"/>
      <c r="T1043" s="176" t="s">
        <v>107</v>
      </c>
      <c r="U1043" s="182">
        <f t="shared" ref="U1043:U1044" si="326">IF($J$1="May",Y1042,Y1042)</f>
        <v>0</v>
      </c>
      <c r="V1043" s="178"/>
      <c r="W1043" s="182">
        <f t="shared" si="323"/>
        <v>0</v>
      </c>
      <c r="X1043" s="178"/>
      <c r="Y1043" s="182">
        <f t="shared" si="324"/>
        <v>0</v>
      </c>
      <c r="Z1043" s="183"/>
      <c r="AA1043" s="150"/>
      <c r="AB1043" s="150"/>
      <c r="AC1043" s="150"/>
    </row>
    <row r="1044" spans="1:29" ht="18.75" customHeight="1" x14ac:dyDescent="0.25">
      <c r="A1044" s="163"/>
      <c r="B1044" s="184" t="s">
        <v>101</v>
      </c>
      <c r="C1044" s="210"/>
      <c r="D1044" s="149"/>
      <c r="E1044" s="149"/>
      <c r="F1044" s="529" t="s">
        <v>89</v>
      </c>
      <c r="G1044" s="503"/>
      <c r="H1044" s="149"/>
      <c r="I1044" s="529" t="s">
        <v>102</v>
      </c>
      <c r="J1044" s="502"/>
      <c r="K1044" s="503"/>
      <c r="L1044" s="186"/>
      <c r="M1044" s="158"/>
      <c r="N1044" s="175"/>
      <c r="O1044" s="176" t="s">
        <v>84</v>
      </c>
      <c r="P1044" s="176"/>
      <c r="Q1044" s="176"/>
      <c r="R1044" s="176">
        <v>0</v>
      </c>
      <c r="S1044" s="156"/>
      <c r="T1044" s="176" t="s">
        <v>84</v>
      </c>
      <c r="U1044" s="182">
        <f t="shared" si="326"/>
        <v>0</v>
      </c>
      <c r="V1044" s="178"/>
      <c r="W1044" s="182">
        <f t="shared" si="323"/>
        <v>0</v>
      </c>
      <c r="X1044" s="178"/>
      <c r="Y1044" s="182">
        <f t="shared" si="324"/>
        <v>0</v>
      </c>
      <c r="Z1044" s="183"/>
      <c r="AA1044" s="150"/>
      <c r="AB1044" s="150"/>
      <c r="AC1044" s="150"/>
    </row>
    <row r="1045" spans="1:29" ht="18.75" customHeight="1" x14ac:dyDescent="0.25">
      <c r="A1045" s="163"/>
      <c r="B1045" s="149"/>
      <c r="C1045" s="149"/>
      <c r="D1045" s="149"/>
      <c r="E1045" s="149"/>
      <c r="F1045" s="149"/>
      <c r="G1045" s="149"/>
      <c r="H1045" s="187"/>
      <c r="I1045" s="149"/>
      <c r="J1045" s="149"/>
      <c r="K1045" s="149"/>
      <c r="L1045" s="188"/>
      <c r="M1045" s="158"/>
      <c r="N1045" s="175"/>
      <c r="O1045" s="176" t="s">
        <v>111</v>
      </c>
      <c r="P1045" s="176">
        <v>28</v>
      </c>
      <c r="Q1045" s="176">
        <v>2</v>
      </c>
      <c r="R1045" s="176">
        <v>0</v>
      </c>
      <c r="S1045" s="156"/>
      <c r="T1045" s="176" t="s">
        <v>111</v>
      </c>
      <c r="U1045" s="182">
        <f>Y1044</f>
        <v>0</v>
      </c>
      <c r="V1045" s="178"/>
      <c r="W1045" s="182">
        <f t="shared" si="323"/>
        <v>0</v>
      </c>
      <c r="X1045" s="178"/>
      <c r="Y1045" s="182">
        <f t="shared" si="324"/>
        <v>0</v>
      </c>
      <c r="Z1045" s="183"/>
      <c r="AA1045" s="150"/>
      <c r="AB1045" s="150"/>
      <c r="AC1045" s="150"/>
    </row>
    <row r="1046" spans="1:29" ht="18.75" customHeight="1" x14ac:dyDescent="0.25">
      <c r="A1046" s="163"/>
      <c r="B1046" s="527" t="s">
        <v>88</v>
      </c>
      <c r="C1046" s="503"/>
      <c r="D1046" s="149"/>
      <c r="E1046" s="149"/>
      <c r="F1046" s="189" t="s">
        <v>105</v>
      </c>
      <c r="G1046" s="190">
        <f>IF($J$1="January",U1039,IF($J$1="February",U1040,IF($J$1="March",U1041,IF($J$1="April",U1042,IF($J$1="May",U1043,IF($J$1="June",U1044,IF($J$1="July",U1045,IF($J$1="August",U1046,IF($J$1="August",U1046,IF($J$1="September",U1047,IF($J$1="October",U1048,IF($J$1="November",U1049,IF($J$1="December",U1050)))))))))))))</f>
        <v>5000</v>
      </c>
      <c r="H1046" s="187"/>
      <c r="I1046" s="191">
        <v>30</v>
      </c>
      <c r="J1046" s="192" t="s">
        <v>106</v>
      </c>
      <c r="K1046" s="193">
        <f>K1042/$K$2*I1046</f>
        <v>75000</v>
      </c>
      <c r="L1046" s="194"/>
      <c r="M1046" s="158"/>
      <c r="N1046" s="175"/>
      <c r="O1046" s="176" t="s">
        <v>113</v>
      </c>
      <c r="P1046" s="176">
        <v>30</v>
      </c>
      <c r="Q1046" s="176">
        <v>1</v>
      </c>
      <c r="R1046" s="176">
        <v>0</v>
      </c>
      <c r="S1046" s="156"/>
      <c r="T1046" s="176" t="s">
        <v>113</v>
      </c>
      <c r="U1046" s="182">
        <f>Y1045</f>
        <v>0</v>
      </c>
      <c r="V1046" s="178">
        <v>10000</v>
      </c>
      <c r="W1046" s="182">
        <f t="shared" si="323"/>
        <v>10000</v>
      </c>
      <c r="X1046" s="178">
        <v>5000</v>
      </c>
      <c r="Y1046" s="182">
        <f t="shared" si="324"/>
        <v>5000</v>
      </c>
      <c r="Z1046" s="183"/>
      <c r="AA1046" s="150"/>
      <c r="AB1046" s="150"/>
      <c r="AC1046" s="150"/>
    </row>
    <row r="1047" spans="1:29" ht="18.75" customHeight="1" x14ac:dyDescent="0.25">
      <c r="A1047" s="163"/>
      <c r="B1047" s="195"/>
      <c r="C1047" s="195"/>
      <c r="D1047" s="149"/>
      <c r="E1047" s="149"/>
      <c r="F1047" s="189" t="s">
        <v>9</v>
      </c>
      <c r="G1047" s="190">
        <f>IF($J$1="January",V1039,IF($J$1="February",V1040,IF($J$1="March",V1041,IF($J$1="April",V1042,IF($J$1="May",V1043,IF($J$1="June",V1044,IF($J$1="July",V1045,IF($J$1="August",V1046,IF($J$1="August",V1046,IF($J$1="September",V1047,IF($J$1="October",V1048,IF($J$1="November",V1049,IF($J$1="December",V1050)))))))))))))</f>
        <v>0</v>
      </c>
      <c r="H1047" s="187"/>
      <c r="I1047" s="211"/>
      <c r="J1047" s="192" t="s">
        <v>108</v>
      </c>
      <c r="K1047" s="190">
        <f>K1042/$K$2/8*I1047</f>
        <v>0</v>
      </c>
      <c r="L1047" s="196"/>
      <c r="M1047" s="158"/>
      <c r="N1047" s="175"/>
      <c r="O1047" s="176" t="s">
        <v>116</v>
      </c>
      <c r="P1047" s="176">
        <v>28</v>
      </c>
      <c r="Q1047" s="176">
        <v>2</v>
      </c>
      <c r="R1047" s="176">
        <v>0</v>
      </c>
      <c r="S1047" s="156"/>
      <c r="T1047" s="176" t="s">
        <v>116</v>
      </c>
      <c r="U1047" s="182">
        <f t="shared" ref="U1047" si="327">IF($J$1="September",Y1046,"")</f>
        <v>5000</v>
      </c>
      <c r="V1047" s="178"/>
      <c r="W1047" s="182">
        <f t="shared" ref="W1047:W1050" si="328">IF(U1047="","",U1047+V1047)</f>
        <v>5000</v>
      </c>
      <c r="X1047" s="178">
        <v>5000</v>
      </c>
      <c r="Y1047" s="182">
        <f t="shared" si="324"/>
        <v>0</v>
      </c>
      <c r="Z1047" s="183"/>
      <c r="AA1047" s="150"/>
      <c r="AB1047" s="150"/>
      <c r="AC1047" s="150"/>
    </row>
    <row r="1048" spans="1:29" ht="18.75" customHeight="1" x14ac:dyDescent="0.25">
      <c r="A1048" s="163"/>
      <c r="B1048" s="189" t="s">
        <v>92</v>
      </c>
      <c r="C1048" s="195">
        <f>IF($J$1="January",P1039,IF($J$1="February",P1040,IF($J$1="March",P1041,IF($J$1="April",P1042,IF($J$1="May",P1043,IF($J$1="June",P1044,IF($J$1="July",P1045,IF($J$1="August",P1046,IF($J$1="August",P1046,IF($J$1="September",P1047,IF($J$1="October",P1048,IF($J$1="November",P1049,IF($J$1="December",P1050)))))))))))))</f>
        <v>28</v>
      </c>
      <c r="D1048" s="149"/>
      <c r="E1048" s="149"/>
      <c r="F1048" s="189" t="s">
        <v>109</v>
      </c>
      <c r="G1048" s="190">
        <f>IF($J$1="January",W1039,IF($J$1="February",W1040,IF($J$1="March",W1041,IF($J$1="April",W1042,IF($J$1="May",W1043,IF($J$1="June",W1044,IF($J$1="July",W1045,IF($J$1="August",W1046,IF($J$1="August",W1046,IF($J$1="September",W1047,IF($J$1="October",W1048,IF($J$1="November",W1049,IF($J$1="December",W1050)))))))))))))</f>
        <v>5000</v>
      </c>
      <c r="H1048" s="187"/>
      <c r="I1048" s="528" t="s">
        <v>110</v>
      </c>
      <c r="J1048" s="503"/>
      <c r="K1048" s="190">
        <f>K1046+K1047</f>
        <v>75000</v>
      </c>
      <c r="L1048" s="196"/>
      <c r="M1048" s="158"/>
      <c r="N1048" s="175"/>
      <c r="O1048" s="176" t="s">
        <v>117</v>
      </c>
      <c r="P1048" s="176"/>
      <c r="Q1048" s="176"/>
      <c r="R1048" s="176" t="str">
        <f t="shared" ref="R1048:R1050" si="329">IF(Q1048="","",R1047-Q1048)</f>
        <v/>
      </c>
      <c r="S1048" s="156"/>
      <c r="T1048" s="176" t="s">
        <v>117</v>
      </c>
      <c r="U1048" s="182" t="str">
        <f>IF($J$1="October",Y1047,"")</f>
        <v/>
      </c>
      <c r="V1048" s="178"/>
      <c r="W1048" s="182" t="str">
        <f t="shared" si="328"/>
        <v/>
      </c>
      <c r="X1048" s="178"/>
      <c r="Y1048" s="182" t="str">
        <f t="shared" si="324"/>
        <v/>
      </c>
      <c r="Z1048" s="183"/>
      <c r="AA1048" s="150"/>
      <c r="AB1048" s="150"/>
      <c r="AC1048" s="150"/>
    </row>
    <row r="1049" spans="1:29" ht="18.75" customHeight="1" x14ac:dyDescent="0.25">
      <c r="A1049" s="163"/>
      <c r="B1049" s="189" t="s">
        <v>93</v>
      </c>
      <c r="C1049" s="195">
        <f>IF($J$1="January",Q1039,IF($J$1="February",Q1040,IF($J$1="March",Q1041,IF($J$1="April",Q1042,IF($J$1="May",Q1043,IF($J$1="June",Q1044,IF($J$1="July",Q1045,IF($J$1="August",Q1046,IF($J$1="August",Q1046,IF($J$1="September",Q1047,IF($J$1="October",Q1048,IF($J$1="November",Q1049,IF($J$1="December",Q1050)))))))))))))</f>
        <v>2</v>
      </c>
      <c r="D1049" s="149"/>
      <c r="E1049" s="149"/>
      <c r="F1049" s="189" t="s">
        <v>11</v>
      </c>
      <c r="G1049" s="190">
        <f>IF($J$1="January",X1039,IF($J$1="February",X1040,IF($J$1="March",X1041,IF($J$1="April",X1042,IF($J$1="May",X1043,IF($J$1="June",X1044,IF($J$1="July",X1045,IF($J$1="August",X1046,IF($J$1="August",X1046,IF($J$1="September",X1047,IF($J$1="October",X1048,IF($J$1="November",X1049,IF($J$1="December",X1050)))))))))))))</f>
        <v>5000</v>
      </c>
      <c r="H1049" s="187"/>
      <c r="I1049" s="528" t="s">
        <v>112</v>
      </c>
      <c r="J1049" s="503"/>
      <c r="K1049" s="190">
        <f>G1049</f>
        <v>5000</v>
      </c>
      <c r="L1049" s="196"/>
      <c r="M1049" s="158"/>
      <c r="N1049" s="175"/>
      <c r="O1049" s="176" t="s">
        <v>118</v>
      </c>
      <c r="P1049" s="176"/>
      <c r="Q1049" s="176"/>
      <c r="R1049" s="176" t="str">
        <f t="shared" si="329"/>
        <v/>
      </c>
      <c r="S1049" s="156"/>
      <c r="T1049" s="176" t="s">
        <v>118</v>
      </c>
      <c r="U1049" s="182" t="str">
        <f>IF($J$1="November",Y1048,"")</f>
        <v/>
      </c>
      <c r="V1049" s="178"/>
      <c r="W1049" s="182" t="str">
        <f t="shared" si="328"/>
        <v/>
      </c>
      <c r="X1049" s="178"/>
      <c r="Y1049" s="182" t="str">
        <f t="shared" si="324"/>
        <v/>
      </c>
      <c r="Z1049" s="183"/>
      <c r="AA1049" s="150"/>
      <c r="AB1049" s="150"/>
      <c r="AC1049" s="150"/>
    </row>
    <row r="1050" spans="1:29" ht="18.75" customHeight="1" x14ac:dyDescent="0.25">
      <c r="A1050" s="163"/>
      <c r="B1050" s="212" t="s">
        <v>114</v>
      </c>
      <c r="C1050" s="195">
        <f>IF($J$1="January",R1039,IF($J$1="February",R1040,IF($J$1="March",R1041,IF($J$1="April",R1042,IF($J$1="May",R1043,IF($J$1="June",R1044,IF($J$1="July",R1045,IF($J$1="August",R1046,IF($J$1="August",R1046,IF($J$1="September",R1047,IF($J$1="October",R1048,IF($J$1="November",R1049,IF($J$1="December",R1050)))))))))))))</f>
        <v>0</v>
      </c>
      <c r="D1050" s="149"/>
      <c r="E1050" s="149"/>
      <c r="F1050" s="189" t="s">
        <v>167</v>
      </c>
      <c r="G1050" s="190">
        <f>IF($J$1="January",Y1039,IF($J$1="February",Y1040,IF($J$1="March",Y1041,IF($J$1="April",Y1042,IF($J$1="May",Y1043,IF($J$1="June",Y1044,IF($J$1="July",Y1045,IF($J$1="August",Y1046,IF($J$1="August",Y1046,IF($J$1="September",Y1047,IF($J$1="October",Y1048,IF($J$1="November",Y1049,IF($J$1="December",Y1050)))))))))))))</f>
        <v>0</v>
      </c>
      <c r="H1050" s="149"/>
      <c r="I1050" s="529" t="s">
        <v>13</v>
      </c>
      <c r="J1050" s="503"/>
      <c r="K1050" s="37">
        <f>K1048-K1049</f>
        <v>70000</v>
      </c>
      <c r="L1050" s="180"/>
      <c r="M1050" s="158"/>
      <c r="N1050" s="175"/>
      <c r="O1050" s="176" t="s">
        <v>119</v>
      </c>
      <c r="P1050" s="176"/>
      <c r="Q1050" s="176"/>
      <c r="R1050" s="176" t="str">
        <f t="shared" si="329"/>
        <v/>
      </c>
      <c r="S1050" s="156"/>
      <c r="T1050" s="176" t="s">
        <v>119</v>
      </c>
      <c r="U1050" s="182" t="str">
        <f>IF($J$1="Dec",Y1049,"")</f>
        <v/>
      </c>
      <c r="V1050" s="178"/>
      <c r="W1050" s="182" t="str">
        <f t="shared" si="328"/>
        <v/>
      </c>
      <c r="X1050" s="178"/>
      <c r="Y1050" s="182" t="str">
        <f t="shared" si="324"/>
        <v/>
      </c>
      <c r="Z1050" s="183"/>
      <c r="AA1050" s="150"/>
      <c r="AB1050" s="150"/>
      <c r="AC1050" s="150"/>
    </row>
    <row r="1051" spans="1:29" ht="18.75" customHeight="1" thickBot="1" x14ac:dyDescent="0.3">
      <c r="A1051" s="163"/>
      <c r="B1051" s="149"/>
      <c r="C1051" s="149"/>
      <c r="D1051" s="149"/>
      <c r="E1051" s="149"/>
      <c r="F1051" s="149"/>
      <c r="G1051" s="149"/>
      <c r="H1051" s="149"/>
      <c r="I1051" s="530"/>
      <c r="J1051" s="531"/>
      <c r="K1051" s="151"/>
      <c r="L1051" s="186"/>
      <c r="M1051" s="158"/>
      <c r="N1051" s="175"/>
      <c r="O1051" s="215"/>
      <c r="P1051" s="215"/>
      <c r="Q1051" s="215"/>
      <c r="R1051" s="215"/>
      <c r="S1051" s="215"/>
      <c r="T1051" s="215"/>
      <c r="U1051" s="215"/>
      <c r="V1051" s="215"/>
      <c r="W1051" s="215"/>
      <c r="X1051" s="215"/>
      <c r="Y1051" s="215"/>
      <c r="Z1051" s="218"/>
      <c r="AA1051" s="150"/>
      <c r="AB1051" s="150"/>
      <c r="AC1051" s="150"/>
    </row>
    <row r="1052" spans="1:29" ht="15" customHeight="1" x14ac:dyDescent="0.3">
      <c r="A1052" s="163"/>
      <c r="B1052" s="147"/>
      <c r="C1052" s="147"/>
      <c r="D1052" s="147"/>
      <c r="E1052" s="147"/>
      <c r="F1052" s="147"/>
      <c r="G1052" s="147"/>
      <c r="H1052" s="147"/>
      <c r="I1052" s="530"/>
      <c r="J1052" s="531"/>
      <c r="K1052" s="151"/>
      <c r="L1052" s="186"/>
      <c r="M1052" s="158"/>
      <c r="N1052" s="175"/>
      <c r="O1052" s="176"/>
      <c r="P1052" s="176"/>
      <c r="Q1052" s="176"/>
      <c r="R1052" s="176" t="str">
        <f t="shared" ref="R1052:R1053" si="330">IF(Q1052="","",R1051-Q1052)</f>
        <v/>
      </c>
      <c r="S1052" s="156"/>
      <c r="T1052" s="176"/>
      <c r="U1052" s="182" t="str">
        <f>IF($J$1="November",Y1051,"")</f>
        <v/>
      </c>
      <c r="V1052" s="178"/>
      <c r="W1052" s="182" t="str">
        <f t="shared" ref="W1052:W1053" si="331">IF(U1052="","",U1052+V1052)</f>
        <v/>
      </c>
      <c r="X1052" s="178"/>
      <c r="Y1052" s="182" t="str">
        <f t="shared" ref="Y1052:Y1053" si="332">IF(W1052="","",W1052-X1052)</f>
        <v/>
      </c>
      <c r="Z1052" s="183"/>
      <c r="AA1052" s="150"/>
    </row>
    <row r="1053" spans="1:29" ht="15" customHeight="1" x14ac:dyDescent="0.3">
      <c r="A1053" s="163"/>
      <c r="B1053" s="147"/>
      <c r="C1053" s="147"/>
      <c r="D1053" s="147"/>
      <c r="E1053" s="147"/>
      <c r="F1053" s="147"/>
      <c r="G1053" s="147"/>
      <c r="H1053" s="147"/>
      <c r="I1053" s="147"/>
      <c r="J1053" s="147"/>
      <c r="K1053" s="147"/>
      <c r="L1053" s="186"/>
      <c r="M1053" s="158"/>
      <c r="N1053" s="175"/>
      <c r="O1053" s="176"/>
      <c r="P1053" s="176"/>
      <c r="Q1053" s="176"/>
      <c r="R1053" s="176" t="str">
        <f t="shared" si="330"/>
        <v/>
      </c>
      <c r="S1053" s="156"/>
      <c r="T1053" s="176"/>
      <c r="U1053" s="182" t="str">
        <f>IF($J$1="Dec",Y1052,"")</f>
        <v/>
      </c>
      <c r="V1053" s="178"/>
      <c r="W1053" s="182" t="str">
        <f t="shared" si="331"/>
        <v/>
      </c>
      <c r="X1053" s="178"/>
      <c r="Y1053" s="182" t="str">
        <f t="shared" si="332"/>
        <v/>
      </c>
      <c r="Z1053" s="183"/>
      <c r="AA1053" s="150"/>
    </row>
    <row r="1054" spans="1:29" ht="15" customHeight="1" thickBot="1" x14ac:dyDescent="0.3">
      <c r="A1054" s="197"/>
      <c r="B1054" s="213"/>
      <c r="C1054" s="213"/>
      <c r="D1054" s="213"/>
      <c r="E1054" s="213"/>
      <c r="F1054" s="213"/>
      <c r="G1054" s="213"/>
      <c r="H1054" s="213"/>
      <c r="I1054" s="213"/>
      <c r="J1054" s="213"/>
      <c r="K1054" s="213"/>
      <c r="L1054" s="199"/>
      <c r="M1054" s="158"/>
      <c r="N1054" s="214"/>
      <c r="O1054" s="215"/>
      <c r="P1054" s="215"/>
      <c r="Q1054" s="215"/>
      <c r="R1054" s="215"/>
      <c r="S1054" s="215"/>
      <c r="T1054" s="215"/>
      <c r="U1054" s="215"/>
      <c r="V1054" s="215"/>
      <c r="W1054" s="215"/>
      <c r="X1054" s="215"/>
      <c r="Y1054" s="215"/>
      <c r="Z1054" s="218"/>
      <c r="AA1054" s="150"/>
    </row>
    <row r="1055" spans="1:29" ht="15" customHeight="1" thickBot="1" x14ac:dyDescent="0.3">
      <c r="M1055" s="150"/>
      <c r="N1055" s="150"/>
      <c r="O1055" s="150"/>
      <c r="P1055" s="150"/>
      <c r="Q1055" s="150"/>
      <c r="R1055" s="150"/>
      <c r="S1055" s="150"/>
      <c r="T1055" s="150"/>
      <c r="U1055" s="150"/>
      <c r="V1055" s="150"/>
      <c r="W1055" s="150"/>
      <c r="X1055" s="150"/>
      <c r="Y1055" s="150"/>
      <c r="Z1055" s="150"/>
      <c r="AA1055" s="150"/>
    </row>
    <row r="1056" spans="1:29" ht="15" customHeight="1" x14ac:dyDescent="0.25">
      <c r="A1056" s="540" t="s">
        <v>87</v>
      </c>
      <c r="B1056" s="538"/>
      <c r="C1056" s="538"/>
      <c r="D1056" s="538"/>
      <c r="E1056" s="538"/>
      <c r="F1056" s="538"/>
      <c r="G1056" s="538"/>
      <c r="H1056" s="538"/>
      <c r="I1056" s="538"/>
      <c r="J1056" s="538"/>
      <c r="K1056" s="538"/>
      <c r="L1056" s="539"/>
      <c r="M1056" s="159"/>
      <c r="N1056" s="160"/>
      <c r="O1056" s="524" t="s">
        <v>88</v>
      </c>
      <c r="P1056" s="525"/>
      <c r="Q1056" s="525"/>
      <c r="R1056" s="526"/>
      <c r="S1056" s="161"/>
      <c r="T1056" s="524" t="s">
        <v>89</v>
      </c>
      <c r="U1056" s="525"/>
      <c r="V1056" s="525"/>
      <c r="W1056" s="525"/>
      <c r="X1056" s="525"/>
      <c r="Y1056" s="526"/>
      <c r="Z1056" s="162"/>
      <c r="AA1056" s="150"/>
    </row>
    <row r="1057" spans="1:29" ht="15" customHeight="1" x14ac:dyDescent="0.25">
      <c r="A1057" s="163"/>
      <c r="B1057" s="149"/>
      <c r="C1057" s="535" t="s">
        <v>90</v>
      </c>
      <c r="D1057" s="531"/>
      <c r="E1057" s="531"/>
      <c r="F1057" s="531"/>
      <c r="G1057" s="164" t="str">
        <f>$J$1</f>
        <v>September</v>
      </c>
      <c r="H1057" s="536">
        <f>$K$1</f>
        <v>2024</v>
      </c>
      <c r="I1057" s="531"/>
      <c r="J1057" s="149"/>
      <c r="K1057" s="165"/>
      <c r="L1057" s="166"/>
      <c r="M1057" s="167"/>
      <c r="N1057" s="168"/>
      <c r="O1057" s="169" t="s">
        <v>91</v>
      </c>
      <c r="P1057" s="169" t="s">
        <v>92</v>
      </c>
      <c r="Q1057" s="169" t="s">
        <v>93</v>
      </c>
      <c r="R1057" s="169" t="s">
        <v>94</v>
      </c>
      <c r="S1057" s="170"/>
      <c r="T1057" s="169" t="s">
        <v>91</v>
      </c>
      <c r="U1057" s="169" t="s">
        <v>95</v>
      </c>
      <c r="V1057" s="169" t="s">
        <v>9</v>
      </c>
      <c r="W1057" s="169" t="s">
        <v>10</v>
      </c>
      <c r="X1057" s="169" t="s">
        <v>11</v>
      </c>
      <c r="Y1057" s="169" t="s">
        <v>96</v>
      </c>
      <c r="Z1057" s="171"/>
      <c r="AA1057" s="150"/>
    </row>
    <row r="1058" spans="1:29" ht="15" customHeight="1" x14ac:dyDescent="0.25">
      <c r="A1058" s="163"/>
      <c r="B1058" s="149"/>
      <c r="C1058" s="149"/>
      <c r="D1058" s="172"/>
      <c r="E1058" s="172"/>
      <c r="F1058" s="172"/>
      <c r="G1058" s="172"/>
      <c r="H1058" s="172"/>
      <c r="I1058" s="149"/>
      <c r="J1058" s="173" t="s">
        <v>97</v>
      </c>
      <c r="K1058" s="151">
        <v>70000</v>
      </c>
      <c r="L1058" s="174"/>
      <c r="M1058" s="158"/>
      <c r="N1058" s="175"/>
      <c r="O1058" s="176" t="s">
        <v>98</v>
      </c>
      <c r="P1058" s="176"/>
      <c r="Q1058" s="176"/>
      <c r="R1058" s="176"/>
      <c r="S1058" s="177"/>
      <c r="T1058" s="176" t="s">
        <v>98</v>
      </c>
      <c r="U1058" s="178"/>
      <c r="V1058" s="178"/>
      <c r="W1058" s="178">
        <f>V1058+U1058</f>
        <v>0</v>
      </c>
      <c r="X1058" s="178"/>
      <c r="Y1058" s="178">
        <f>W1058-X1058</f>
        <v>0</v>
      </c>
      <c r="Z1058" s="171"/>
      <c r="AA1058" s="150"/>
    </row>
    <row r="1059" spans="1:29" ht="15" customHeight="1" x14ac:dyDescent="0.25">
      <c r="A1059" s="163"/>
      <c r="B1059" s="149" t="s">
        <v>99</v>
      </c>
      <c r="C1059" s="148" t="s">
        <v>340</v>
      </c>
      <c r="D1059" s="149"/>
      <c r="E1059" s="149"/>
      <c r="F1059" s="149"/>
      <c r="G1059" s="149"/>
      <c r="H1059" s="179"/>
      <c r="I1059" s="172"/>
      <c r="J1059" s="149"/>
      <c r="K1059" s="149"/>
      <c r="L1059" s="180"/>
      <c r="M1059" s="159"/>
      <c r="N1059" s="181"/>
      <c r="O1059" s="176" t="s">
        <v>100</v>
      </c>
      <c r="P1059" s="176"/>
      <c r="Q1059" s="176"/>
      <c r="R1059" s="176" t="str">
        <f t="shared" ref="R1059:R1060" si="333">IF(Q1059="","",R1058-Q1059)</f>
        <v/>
      </c>
      <c r="S1059" s="156"/>
      <c r="T1059" s="176" t="s">
        <v>100</v>
      </c>
      <c r="U1059" s="182">
        <f>Y1058</f>
        <v>0</v>
      </c>
      <c r="V1059" s="178"/>
      <c r="W1059" s="182">
        <f t="shared" ref="W1059:W1069" si="334">IF(U1059="","",U1059+V1059)</f>
        <v>0</v>
      </c>
      <c r="X1059" s="178"/>
      <c r="Y1059" s="182">
        <f t="shared" ref="Y1059:Y1069" si="335">IF(W1059="","",W1059-X1059)</f>
        <v>0</v>
      </c>
      <c r="Z1059" s="183"/>
      <c r="AA1059" s="150"/>
    </row>
    <row r="1060" spans="1:29" ht="15" customHeight="1" x14ac:dyDescent="0.25">
      <c r="A1060" s="163"/>
      <c r="B1060" s="184" t="s">
        <v>101</v>
      </c>
      <c r="C1060" s="210"/>
      <c r="D1060" s="149"/>
      <c r="E1060" s="149"/>
      <c r="F1060" s="529" t="s">
        <v>89</v>
      </c>
      <c r="G1060" s="503"/>
      <c r="H1060" s="149"/>
      <c r="I1060" s="529" t="s">
        <v>102</v>
      </c>
      <c r="J1060" s="502"/>
      <c r="K1060" s="503"/>
      <c r="L1060" s="186"/>
      <c r="M1060" s="158"/>
      <c r="N1060" s="175"/>
      <c r="O1060" s="176" t="s">
        <v>103</v>
      </c>
      <c r="P1060" s="176"/>
      <c r="Q1060" s="176"/>
      <c r="R1060" s="176" t="str">
        <f t="shared" si="333"/>
        <v/>
      </c>
      <c r="S1060" s="156"/>
      <c r="T1060" s="176" t="s">
        <v>103</v>
      </c>
      <c r="U1060" s="182">
        <f t="shared" ref="U1060:U1061" si="336">IF($J$1="April",Y1059,Y1059)</f>
        <v>0</v>
      </c>
      <c r="V1060" s="178"/>
      <c r="W1060" s="182">
        <f t="shared" si="334"/>
        <v>0</v>
      </c>
      <c r="X1060" s="178"/>
      <c r="Y1060" s="182">
        <f t="shared" si="335"/>
        <v>0</v>
      </c>
      <c r="Z1060" s="183"/>
      <c r="AA1060" s="150"/>
    </row>
    <row r="1061" spans="1:29" ht="15" customHeight="1" x14ac:dyDescent="0.25">
      <c r="A1061" s="163"/>
      <c r="B1061" s="149"/>
      <c r="C1061" s="149"/>
      <c r="D1061" s="149"/>
      <c r="E1061" s="149"/>
      <c r="F1061" s="149"/>
      <c r="G1061" s="149"/>
      <c r="H1061" s="187"/>
      <c r="I1061" s="149"/>
      <c r="J1061" s="149"/>
      <c r="K1061" s="149"/>
      <c r="L1061" s="188"/>
      <c r="M1061" s="158"/>
      <c r="N1061" s="175"/>
      <c r="O1061" s="176" t="s">
        <v>104</v>
      </c>
      <c r="P1061" s="176"/>
      <c r="Q1061" s="176"/>
      <c r="R1061" s="176">
        <v>0</v>
      </c>
      <c r="S1061" s="156"/>
      <c r="T1061" s="176" t="s">
        <v>104</v>
      </c>
      <c r="U1061" s="182">
        <f t="shared" si="336"/>
        <v>0</v>
      </c>
      <c r="V1061" s="178"/>
      <c r="W1061" s="182">
        <f t="shared" si="334"/>
        <v>0</v>
      </c>
      <c r="X1061" s="178"/>
      <c r="Y1061" s="182">
        <f t="shared" si="335"/>
        <v>0</v>
      </c>
      <c r="Z1061" s="183"/>
      <c r="AA1061" s="150"/>
    </row>
    <row r="1062" spans="1:29" ht="15" customHeight="1" x14ac:dyDescent="0.25">
      <c r="A1062" s="163"/>
      <c r="B1062" s="527" t="s">
        <v>88</v>
      </c>
      <c r="C1062" s="503"/>
      <c r="D1062" s="149"/>
      <c r="E1062" s="149"/>
      <c r="F1062" s="189" t="s">
        <v>105</v>
      </c>
      <c r="G1062" s="190">
        <f>IF($J$1="January",U1058,IF($J$1="February",U1059,IF($J$1="March",U1060,IF($J$1="April",U1061,IF($J$1="May",U1062,IF($J$1="June",U1063,IF($J$1="July",U1064,IF($J$1="August",U1065,IF($J$1="August",U1065,IF($J$1="September",U1066,IF($J$1="October",U1067,IF($J$1="November",U1068,IF($J$1="December",U1069)))))))))))))</f>
        <v>0</v>
      </c>
      <c r="H1062" s="187"/>
      <c r="I1062" s="191">
        <f>IF(C1066&gt;0,$K$2,C1064)</f>
        <v>13</v>
      </c>
      <c r="J1062" s="192" t="s">
        <v>106</v>
      </c>
      <c r="K1062" s="193">
        <f>K1058/$K$2*I1062</f>
        <v>30333.333333333336</v>
      </c>
      <c r="L1062" s="194"/>
      <c r="M1062" s="158"/>
      <c r="N1062" s="175"/>
      <c r="O1062" s="176" t="s">
        <v>107</v>
      </c>
      <c r="P1062" s="176"/>
      <c r="Q1062" s="176"/>
      <c r="R1062" s="176">
        <v>0</v>
      </c>
      <c r="S1062" s="156"/>
      <c r="T1062" s="176" t="s">
        <v>107</v>
      </c>
      <c r="U1062" s="182">
        <f t="shared" ref="U1062:U1065" si="337">IF($J$1="May",Y1061,Y1061)</f>
        <v>0</v>
      </c>
      <c r="V1062" s="178"/>
      <c r="W1062" s="182">
        <f t="shared" si="334"/>
        <v>0</v>
      </c>
      <c r="X1062" s="178"/>
      <c r="Y1062" s="182">
        <f t="shared" si="335"/>
        <v>0</v>
      </c>
      <c r="Z1062" s="183"/>
      <c r="AA1062" s="150"/>
    </row>
    <row r="1063" spans="1:29" ht="15" customHeight="1" x14ac:dyDescent="0.25">
      <c r="A1063" s="163"/>
      <c r="B1063" s="195"/>
      <c r="C1063" s="195"/>
      <c r="D1063" s="149"/>
      <c r="E1063" s="149"/>
      <c r="F1063" s="189" t="s">
        <v>9</v>
      </c>
      <c r="G1063" s="190">
        <f>IF($J$1="January",V1058,IF($J$1="February",V1059,IF($J$1="March",V1060,IF($J$1="April",V1061,IF($J$1="May",V1062,IF($J$1="June",V1063,IF($J$1="July",V1064,IF($J$1="August",V1065,IF($J$1="August",V1065,IF($J$1="September",V1066,IF($J$1="October",V1067,IF($J$1="November",V1068,IF($J$1="December",V1069)))))))))))))</f>
        <v>30000</v>
      </c>
      <c r="H1063" s="187"/>
      <c r="I1063" s="211"/>
      <c r="J1063" s="192" t="s">
        <v>108</v>
      </c>
      <c r="K1063" s="190">
        <f>K1058/$K$2/8*I1063</f>
        <v>0</v>
      </c>
      <c r="L1063" s="196"/>
      <c r="M1063" s="158"/>
      <c r="N1063" s="175"/>
      <c r="O1063" s="176" t="s">
        <v>84</v>
      </c>
      <c r="P1063" s="176"/>
      <c r="Q1063" s="176"/>
      <c r="R1063" s="176">
        <v>0</v>
      </c>
      <c r="S1063" s="156"/>
      <c r="T1063" s="176" t="s">
        <v>84</v>
      </c>
      <c r="U1063" s="182">
        <f t="shared" si="337"/>
        <v>0</v>
      </c>
      <c r="V1063" s="178"/>
      <c r="W1063" s="182">
        <f t="shared" si="334"/>
        <v>0</v>
      </c>
      <c r="X1063" s="178"/>
      <c r="Y1063" s="182">
        <f t="shared" si="335"/>
        <v>0</v>
      </c>
      <c r="Z1063" s="183"/>
      <c r="AA1063" s="150"/>
    </row>
    <row r="1064" spans="1:29" ht="15" customHeight="1" x14ac:dyDescent="0.25">
      <c r="A1064" s="163"/>
      <c r="B1064" s="189" t="s">
        <v>92</v>
      </c>
      <c r="C1064" s="195">
        <f>IF($J$1="January",P1058,IF($J$1="February",P1059,IF($J$1="March",P1060,IF($J$1="April",P1061,IF($J$1="May",P1062,IF($J$1="June",P1063,IF($J$1="July",P1064,IF($J$1="August",P1065,IF($J$1="August",P1065,IF($J$1="September",P1066,IF($J$1="October",P1067,IF($J$1="November",P1068,IF($J$1="December",P1069)))))))))))))</f>
        <v>13</v>
      </c>
      <c r="D1064" s="149"/>
      <c r="E1064" s="149"/>
      <c r="F1064" s="189" t="s">
        <v>109</v>
      </c>
      <c r="G1064" s="190">
        <f>IF($J$1="January",W1058,IF($J$1="February",W1059,IF($J$1="March",W1060,IF($J$1="April",W1061,IF($J$1="May",W1062,IF($J$1="June",W1063,IF($J$1="July",W1064,IF($J$1="August",W1065,IF($J$1="August",W1065,IF($J$1="September",W1066,IF($J$1="October",W1067,IF($J$1="November",W1068,IF($J$1="December",W1069)))))))))))))</f>
        <v>30000</v>
      </c>
      <c r="H1064" s="187"/>
      <c r="I1064" s="528" t="s">
        <v>110</v>
      </c>
      <c r="J1064" s="503"/>
      <c r="K1064" s="190">
        <f>K1062+K1063</f>
        <v>30333.333333333336</v>
      </c>
      <c r="L1064" s="196"/>
      <c r="M1064" s="158"/>
      <c r="N1064" s="175"/>
      <c r="O1064" s="176" t="s">
        <v>111</v>
      </c>
      <c r="P1064" s="176"/>
      <c r="Q1064" s="176"/>
      <c r="R1064" s="176">
        <v>0</v>
      </c>
      <c r="S1064" s="156"/>
      <c r="T1064" s="176" t="s">
        <v>111</v>
      </c>
      <c r="U1064" s="182">
        <f t="shared" si="337"/>
        <v>0</v>
      </c>
      <c r="V1064" s="178"/>
      <c r="W1064" s="182">
        <f t="shared" si="334"/>
        <v>0</v>
      </c>
      <c r="X1064" s="178"/>
      <c r="Y1064" s="182">
        <f t="shared" si="335"/>
        <v>0</v>
      </c>
      <c r="Z1064" s="183"/>
      <c r="AA1064" s="150"/>
    </row>
    <row r="1065" spans="1:29" ht="15" customHeight="1" x14ac:dyDescent="0.25">
      <c r="A1065" s="163"/>
      <c r="B1065" s="189" t="s">
        <v>93</v>
      </c>
      <c r="C1065" s="195">
        <f>IF($J$1="January",Q1058,IF($J$1="February",Q1059,IF($J$1="March",Q1060,IF($J$1="April",Q1061,IF($J$1="May",Q1062,IF($J$1="June",Q1063,IF($J$1="July",Q1064,IF($J$1="August",Q1065,IF($J$1="August",Q1065,IF($J$1="September",Q1066,IF($J$1="October",Q1067,IF($J$1="November",Q1068,IF($J$1="December",Q1069)))))))))))))</f>
        <v>17</v>
      </c>
      <c r="D1065" s="149"/>
      <c r="E1065" s="149"/>
      <c r="F1065" s="189" t="s">
        <v>11</v>
      </c>
      <c r="G1065" s="190">
        <f>IF($J$1="January",X1058,IF($J$1="February",X1059,IF($J$1="March",X1060,IF($J$1="April",X1061,IF($J$1="May",X1062,IF($J$1="June",X1063,IF($J$1="July",X1064,IF($J$1="August",X1065,IF($J$1="August",X1065,IF($J$1="September",X1066,IF($J$1="October",X1067,IF($J$1="November",X1068,IF($J$1="December",X1069)))))))))))))</f>
        <v>30000</v>
      </c>
      <c r="H1065" s="187"/>
      <c r="I1065" s="528" t="s">
        <v>112</v>
      </c>
      <c r="J1065" s="503"/>
      <c r="K1065" s="190">
        <f>G1065</f>
        <v>30000</v>
      </c>
      <c r="L1065" s="196"/>
      <c r="M1065" s="158"/>
      <c r="N1065" s="175"/>
      <c r="O1065" s="176" t="s">
        <v>113</v>
      </c>
      <c r="P1065" s="176"/>
      <c r="Q1065" s="176"/>
      <c r="R1065" s="176">
        <v>0</v>
      </c>
      <c r="S1065" s="156"/>
      <c r="T1065" s="176" t="s">
        <v>113</v>
      </c>
      <c r="U1065" s="182">
        <f t="shared" si="337"/>
        <v>0</v>
      </c>
      <c r="V1065" s="178"/>
      <c r="W1065" s="182">
        <f t="shared" si="334"/>
        <v>0</v>
      </c>
      <c r="X1065" s="178"/>
      <c r="Y1065" s="182">
        <f t="shared" si="335"/>
        <v>0</v>
      </c>
      <c r="Z1065" s="183"/>
      <c r="AA1065" s="150"/>
    </row>
    <row r="1066" spans="1:29" ht="15" customHeight="1" x14ac:dyDescent="0.25">
      <c r="A1066" s="163"/>
      <c r="B1066" s="212" t="s">
        <v>114</v>
      </c>
      <c r="C1066" s="195">
        <f>IF($J$1="January",R1058,IF($J$1="February",R1059,IF($J$1="March",R1060,IF($J$1="April",R1061,IF($J$1="May",R1062,IF($J$1="June",R1063,IF($J$1="July",R1064,IF($J$1="August",R1065,IF($J$1="August",R1065,IF($J$1="September",R1066,IF($J$1="October",R1067,IF($J$1="November",R1068,IF($J$1="December",R1069)))))))))))))</f>
        <v>0</v>
      </c>
      <c r="D1066" s="149"/>
      <c r="E1066" s="149"/>
      <c r="F1066" s="189" t="s">
        <v>167</v>
      </c>
      <c r="G1066" s="190">
        <f>IF($J$1="January",Y1058,IF($J$1="February",Y1059,IF($J$1="March",Y1060,IF($J$1="April",Y1061,IF($J$1="May",Y1062,IF($J$1="June",Y1063,IF($J$1="July",Y1064,IF($J$1="August",Y1065,IF($J$1="August",Y1065,IF($J$1="September",Y1066,IF($J$1="October",Y1067,IF($J$1="November",Y1068,IF($J$1="December",Y1069)))))))))))))</f>
        <v>0</v>
      </c>
      <c r="H1066" s="149"/>
      <c r="I1066" s="529" t="s">
        <v>13</v>
      </c>
      <c r="J1066" s="503"/>
      <c r="K1066" s="37">
        <f>K1064-K1065</f>
        <v>333.33333333333576</v>
      </c>
      <c r="L1066" s="180"/>
      <c r="M1066" s="158"/>
      <c r="N1066" s="175"/>
      <c r="O1066" s="176" t="s">
        <v>116</v>
      </c>
      <c r="P1066" s="176">
        <v>13</v>
      </c>
      <c r="Q1066" s="176">
        <v>17</v>
      </c>
      <c r="R1066" s="176">
        <v>0</v>
      </c>
      <c r="S1066" s="156"/>
      <c r="T1066" s="176" t="s">
        <v>116</v>
      </c>
      <c r="U1066" s="182">
        <f t="shared" ref="U1066" si="338">IF($J$1="September",Y1065,"")</f>
        <v>0</v>
      </c>
      <c r="V1066" s="178">
        <v>30000</v>
      </c>
      <c r="W1066" s="182">
        <f t="shared" si="334"/>
        <v>30000</v>
      </c>
      <c r="X1066" s="178">
        <v>30000</v>
      </c>
      <c r="Y1066" s="182">
        <f t="shared" si="335"/>
        <v>0</v>
      </c>
      <c r="Z1066" s="183"/>
      <c r="AA1066" s="150"/>
    </row>
    <row r="1067" spans="1:29" ht="18" customHeight="1" x14ac:dyDescent="0.2">
      <c r="A1067" s="163"/>
      <c r="B1067" s="149"/>
      <c r="C1067" s="149"/>
      <c r="D1067" s="149"/>
      <c r="E1067" s="149"/>
      <c r="F1067" s="149"/>
      <c r="G1067" s="149"/>
      <c r="H1067" s="149"/>
      <c r="I1067" s="530"/>
      <c r="J1067" s="531"/>
      <c r="K1067" s="151"/>
      <c r="L1067" s="186"/>
      <c r="M1067" s="158"/>
      <c r="N1067" s="175"/>
      <c r="O1067" s="176" t="s">
        <v>117</v>
      </c>
      <c r="P1067" s="176"/>
      <c r="Q1067" s="176"/>
      <c r="R1067" s="176" t="str">
        <f t="shared" ref="R1067:R1069" si="339">IF(Q1067="","",R1066-Q1067)</f>
        <v/>
      </c>
      <c r="S1067" s="156"/>
      <c r="T1067" s="176" t="s">
        <v>117</v>
      </c>
      <c r="U1067" s="182"/>
      <c r="V1067" s="178"/>
      <c r="W1067" s="182" t="str">
        <f t="shared" si="334"/>
        <v/>
      </c>
      <c r="X1067" s="178"/>
      <c r="Y1067" s="182" t="str">
        <f t="shared" si="335"/>
        <v/>
      </c>
      <c r="Z1067" s="183"/>
      <c r="AA1067" s="158"/>
      <c r="AB1067" s="158"/>
      <c r="AC1067" s="158"/>
    </row>
    <row r="1068" spans="1:29" ht="18" customHeight="1" x14ac:dyDescent="0.3">
      <c r="A1068" s="163"/>
      <c r="B1068" s="147"/>
      <c r="C1068" s="147"/>
      <c r="D1068" s="147"/>
      <c r="E1068" s="147"/>
      <c r="F1068" s="147"/>
      <c r="G1068" s="147"/>
      <c r="H1068" s="147"/>
      <c r="I1068" s="530"/>
      <c r="J1068" s="531"/>
      <c r="K1068" s="151"/>
      <c r="L1068" s="186"/>
      <c r="M1068" s="158"/>
      <c r="N1068" s="175"/>
      <c r="O1068" s="176" t="s">
        <v>118</v>
      </c>
      <c r="P1068" s="176"/>
      <c r="Q1068" s="176"/>
      <c r="R1068" s="176" t="str">
        <f t="shared" si="339"/>
        <v/>
      </c>
      <c r="S1068" s="156"/>
      <c r="T1068" s="176" t="s">
        <v>118</v>
      </c>
      <c r="U1068" s="182"/>
      <c r="V1068" s="178"/>
      <c r="W1068" s="182" t="str">
        <f t="shared" si="334"/>
        <v/>
      </c>
      <c r="X1068" s="178"/>
      <c r="Y1068" s="182" t="str">
        <f t="shared" si="335"/>
        <v/>
      </c>
      <c r="Z1068" s="183"/>
      <c r="AA1068" s="158"/>
      <c r="AB1068" s="158"/>
      <c r="AC1068" s="158"/>
    </row>
    <row r="1069" spans="1:29" ht="18" customHeight="1" x14ac:dyDescent="0.3">
      <c r="A1069" s="163"/>
      <c r="B1069" s="147"/>
      <c r="C1069" s="147"/>
      <c r="D1069" s="147"/>
      <c r="E1069" s="147"/>
      <c r="F1069" s="147"/>
      <c r="G1069" s="147"/>
      <c r="H1069" s="147"/>
      <c r="I1069" s="147"/>
      <c r="J1069" s="147"/>
      <c r="K1069" s="147"/>
      <c r="L1069" s="186"/>
      <c r="M1069" s="158"/>
      <c r="N1069" s="175"/>
      <c r="O1069" s="176" t="s">
        <v>119</v>
      </c>
      <c r="P1069" s="176"/>
      <c r="Q1069" s="176"/>
      <c r="R1069" s="176" t="str">
        <f t="shared" si="339"/>
        <v/>
      </c>
      <c r="S1069" s="156"/>
      <c r="T1069" s="176" t="s">
        <v>119</v>
      </c>
      <c r="U1069" s="182"/>
      <c r="V1069" s="178"/>
      <c r="W1069" s="182" t="str">
        <f t="shared" si="334"/>
        <v/>
      </c>
      <c r="X1069" s="178"/>
      <c r="Y1069" s="182" t="str">
        <f t="shared" si="335"/>
        <v/>
      </c>
      <c r="Z1069" s="183"/>
      <c r="AA1069" s="158"/>
      <c r="AB1069" s="158"/>
      <c r="AC1069" s="158"/>
    </row>
    <row r="1070" spans="1:29" ht="18" customHeight="1" thickBot="1" x14ac:dyDescent="0.25">
      <c r="A1070" s="197"/>
      <c r="B1070" s="213"/>
      <c r="C1070" s="213"/>
      <c r="D1070" s="213"/>
      <c r="E1070" s="213"/>
      <c r="F1070" s="213"/>
      <c r="G1070" s="213"/>
      <c r="H1070" s="213"/>
      <c r="I1070" s="213"/>
      <c r="J1070" s="213"/>
      <c r="K1070" s="213"/>
      <c r="L1070" s="199"/>
      <c r="M1070" s="201"/>
      <c r="N1070" s="202"/>
      <c r="O1070" s="202"/>
      <c r="P1070" s="202"/>
      <c r="Q1070" s="202"/>
      <c r="R1070" s="202"/>
      <c r="S1070" s="202"/>
      <c r="T1070" s="202"/>
      <c r="U1070" s="202"/>
      <c r="V1070" s="202"/>
      <c r="W1070" s="202"/>
      <c r="X1070" s="202"/>
      <c r="Y1070" s="202"/>
      <c r="Z1070" s="202"/>
      <c r="AA1070" s="201"/>
      <c r="AB1070" s="201"/>
      <c r="AC1070" s="201"/>
    </row>
    <row r="1071" spans="1:29" ht="15" customHeight="1" thickBot="1" x14ac:dyDescent="0.25">
      <c r="A1071" s="200"/>
      <c r="B1071" s="200"/>
      <c r="C1071" s="200"/>
      <c r="D1071" s="200"/>
      <c r="E1071" s="200"/>
      <c r="F1071" s="200"/>
      <c r="G1071" s="200"/>
      <c r="H1071" s="200"/>
      <c r="I1071" s="200"/>
      <c r="J1071" s="200"/>
      <c r="K1071" s="200"/>
      <c r="L1071" s="200"/>
      <c r="M1071" s="201"/>
      <c r="N1071" s="202"/>
      <c r="O1071" s="202"/>
      <c r="P1071" s="202"/>
      <c r="Q1071" s="202"/>
      <c r="R1071" s="202"/>
      <c r="S1071" s="202"/>
      <c r="T1071" s="202"/>
      <c r="U1071" s="202"/>
      <c r="V1071" s="202"/>
      <c r="W1071" s="202"/>
      <c r="X1071" s="202"/>
      <c r="Y1071" s="202"/>
    </row>
    <row r="1072" spans="1:29" ht="15" customHeight="1" thickBot="1" x14ac:dyDescent="0.25">
      <c r="A1072" s="532" t="s">
        <v>87</v>
      </c>
      <c r="B1072" s="533"/>
      <c r="C1072" s="533"/>
      <c r="D1072" s="533"/>
      <c r="E1072" s="533"/>
      <c r="F1072" s="533"/>
      <c r="G1072" s="533"/>
      <c r="H1072" s="533"/>
      <c r="I1072" s="533"/>
      <c r="J1072" s="533"/>
      <c r="K1072" s="533"/>
      <c r="L1072" s="534"/>
      <c r="M1072" s="159"/>
      <c r="N1072" s="160"/>
      <c r="O1072" s="524" t="s">
        <v>88</v>
      </c>
      <c r="P1072" s="525"/>
      <c r="Q1072" s="525"/>
      <c r="R1072" s="526"/>
      <c r="S1072" s="161"/>
      <c r="T1072" s="524" t="s">
        <v>89</v>
      </c>
      <c r="U1072" s="525"/>
      <c r="V1072" s="525"/>
      <c r="W1072" s="525"/>
      <c r="X1072" s="525"/>
      <c r="Y1072" s="526"/>
    </row>
    <row r="1073" spans="1:25" ht="15" customHeight="1" x14ac:dyDescent="0.2">
      <c r="A1073" s="163"/>
      <c r="B1073" s="149"/>
      <c r="C1073" s="535" t="s">
        <v>90</v>
      </c>
      <c r="D1073" s="531"/>
      <c r="E1073" s="531"/>
      <c r="F1073" s="531"/>
      <c r="G1073" s="164" t="str">
        <f>$J$1</f>
        <v>September</v>
      </c>
      <c r="H1073" s="536">
        <f>$K$1</f>
        <v>2024</v>
      </c>
      <c r="I1073" s="531"/>
      <c r="J1073" s="149"/>
      <c r="K1073" s="165"/>
      <c r="L1073" s="166"/>
      <c r="M1073" s="167"/>
      <c r="N1073" s="168"/>
      <c r="O1073" s="169" t="s">
        <v>91</v>
      </c>
      <c r="P1073" s="169" t="s">
        <v>92</v>
      </c>
      <c r="Q1073" s="169" t="s">
        <v>93</v>
      </c>
      <c r="R1073" s="169" t="s">
        <v>94</v>
      </c>
      <c r="S1073" s="170"/>
      <c r="T1073" s="169" t="s">
        <v>91</v>
      </c>
      <c r="U1073" s="169" t="s">
        <v>95</v>
      </c>
      <c r="V1073" s="169" t="s">
        <v>9</v>
      </c>
      <c r="W1073" s="169" t="s">
        <v>10</v>
      </c>
      <c r="X1073" s="169" t="s">
        <v>11</v>
      </c>
      <c r="Y1073" s="169" t="s">
        <v>96</v>
      </c>
    </row>
    <row r="1074" spans="1:25" ht="15" customHeight="1" x14ac:dyDescent="0.2">
      <c r="A1074" s="163"/>
      <c r="B1074" s="149"/>
      <c r="C1074" s="149"/>
      <c r="D1074" s="172"/>
      <c r="E1074" s="172"/>
      <c r="F1074" s="172"/>
      <c r="G1074" s="172"/>
      <c r="H1074" s="172"/>
      <c r="I1074" s="149"/>
      <c r="J1074" s="173" t="s">
        <v>97</v>
      </c>
      <c r="K1074" s="151">
        <v>45000</v>
      </c>
      <c r="L1074" s="174"/>
      <c r="M1074" s="158"/>
      <c r="N1074" s="175"/>
      <c r="O1074" s="176" t="s">
        <v>98</v>
      </c>
      <c r="P1074" s="176"/>
      <c r="Q1074" s="176">
        <v>0</v>
      </c>
      <c r="R1074" s="176"/>
      <c r="S1074" s="177"/>
      <c r="T1074" s="176" t="s">
        <v>98</v>
      </c>
      <c r="U1074" s="178"/>
      <c r="V1074" s="178"/>
      <c r="W1074" s="178">
        <f>V1074+U1074</f>
        <v>0</v>
      </c>
      <c r="X1074" s="178"/>
      <c r="Y1074" s="178">
        <f>W1074-X1074</f>
        <v>0</v>
      </c>
    </row>
    <row r="1075" spans="1:25" ht="15" customHeight="1" x14ac:dyDescent="0.2">
      <c r="A1075" s="163"/>
      <c r="B1075" s="149" t="s">
        <v>99</v>
      </c>
      <c r="C1075" s="148" t="s">
        <v>327</v>
      </c>
      <c r="D1075" s="149"/>
      <c r="E1075" s="149"/>
      <c r="F1075" s="149"/>
      <c r="G1075" s="172"/>
      <c r="H1075" s="179"/>
      <c r="I1075" s="172"/>
      <c r="J1075" s="149"/>
      <c r="K1075" s="149"/>
      <c r="L1075" s="180"/>
      <c r="M1075" s="159"/>
      <c r="N1075" s="181"/>
      <c r="O1075" s="176" t="s">
        <v>100</v>
      </c>
      <c r="P1075" s="176"/>
      <c r="Q1075" s="176">
        <v>0</v>
      </c>
      <c r="R1075" s="176">
        <f t="shared" ref="R1075:R1085" si="340">IF(Q1075="","",R1074-Q1075)</f>
        <v>0</v>
      </c>
      <c r="S1075" s="156"/>
      <c r="T1075" s="176" t="s">
        <v>100</v>
      </c>
      <c r="U1075" s="182">
        <f t="shared" ref="U1075:U1081" si="341">Y1074</f>
        <v>0</v>
      </c>
      <c r="V1075" s="178"/>
      <c r="W1075" s="182">
        <f t="shared" ref="W1075:W1085" si="342">IF(U1075="","",U1075+V1075)</f>
        <v>0</v>
      </c>
      <c r="X1075" s="178"/>
      <c r="Y1075" s="182">
        <f t="shared" ref="Y1075:Y1085" si="343">IF(W1075="","",W1075-X1075)</f>
        <v>0</v>
      </c>
    </row>
    <row r="1076" spans="1:25" ht="15" customHeight="1" x14ac:dyDescent="0.2">
      <c r="A1076" s="163"/>
      <c r="B1076" s="184" t="s">
        <v>101</v>
      </c>
      <c r="C1076" s="185"/>
      <c r="D1076" s="149"/>
      <c r="E1076" s="149"/>
      <c r="F1076" s="529" t="s">
        <v>89</v>
      </c>
      <c r="G1076" s="503"/>
      <c r="H1076" s="149"/>
      <c r="I1076" s="529" t="s">
        <v>102</v>
      </c>
      <c r="J1076" s="502"/>
      <c r="K1076" s="503"/>
      <c r="L1076" s="186"/>
      <c r="M1076" s="158"/>
      <c r="N1076" s="175"/>
      <c r="O1076" s="176" t="s">
        <v>103</v>
      </c>
      <c r="P1076" s="176"/>
      <c r="Q1076" s="176">
        <v>0</v>
      </c>
      <c r="R1076" s="176">
        <f t="shared" si="340"/>
        <v>0</v>
      </c>
      <c r="S1076" s="156"/>
      <c r="T1076" s="176" t="s">
        <v>103</v>
      </c>
      <c r="U1076" s="182">
        <f t="shared" si="341"/>
        <v>0</v>
      </c>
      <c r="V1076" s="178"/>
      <c r="W1076" s="182">
        <f t="shared" si="342"/>
        <v>0</v>
      </c>
      <c r="X1076" s="178"/>
      <c r="Y1076" s="182">
        <f t="shared" si="343"/>
        <v>0</v>
      </c>
    </row>
    <row r="1077" spans="1:25" ht="15" customHeight="1" x14ac:dyDescent="0.2">
      <c r="A1077" s="163"/>
      <c r="B1077" s="149"/>
      <c r="C1077" s="149"/>
      <c r="D1077" s="149"/>
      <c r="E1077" s="149"/>
      <c r="F1077" s="149"/>
      <c r="G1077" s="149"/>
      <c r="H1077" s="187"/>
      <c r="I1077" s="149"/>
      <c r="J1077" s="149"/>
      <c r="K1077" s="149"/>
      <c r="L1077" s="188"/>
      <c r="M1077" s="158"/>
      <c r="N1077" s="175"/>
      <c r="O1077" s="176" t="s">
        <v>104</v>
      </c>
      <c r="P1077" s="176"/>
      <c r="Q1077" s="176">
        <v>0</v>
      </c>
      <c r="R1077" s="176">
        <f t="shared" si="340"/>
        <v>0</v>
      </c>
      <c r="S1077" s="156"/>
      <c r="T1077" s="176" t="s">
        <v>104</v>
      </c>
      <c r="U1077" s="182">
        <f t="shared" si="341"/>
        <v>0</v>
      </c>
      <c r="V1077" s="178"/>
      <c r="W1077" s="182">
        <f t="shared" si="342"/>
        <v>0</v>
      </c>
      <c r="X1077" s="178"/>
      <c r="Y1077" s="182">
        <f t="shared" si="343"/>
        <v>0</v>
      </c>
    </row>
    <row r="1078" spans="1:25" ht="15" customHeight="1" x14ac:dyDescent="0.2">
      <c r="A1078" s="163"/>
      <c r="B1078" s="527" t="s">
        <v>88</v>
      </c>
      <c r="C1078" s="503"/>
      <c r="D1078" s="149"/>
      <c r="E1078" s="149"/>
      <c r="F1078" s="189" t="s">
        <v>105</v>
      </c>
      <c r="G1078" s="190">
        <f>IF($J$1="January",U1074,IF($J$1="February",U1075,IF($J$1="March",U1076,IF($J$1="April",U1077,IF($J$1="May",U1078,IF($J$1="June",U1079,IF($J$1="July",U1080,IF($J$1="August",U1081,IF($J$1="August",U1081,IF($J$1="September",U1082,IF($J$1="October",U1083,IF($J$1="November",U1084,IF($J$1="December",U1085)))))))))))))</f>
        <v>0</v>
      </c>
      <c r="H1078" s="187"/>
      <c r="I1078" s="191">
        <f>IF(C1082&gt;0,$K$2,C1080)</f>
        <v>30</v>
      </c>
      <c r="J1078" s="192" t="s">
        <v>106</v>
      </c>
      <c r="K1078" s="193">
        <f>K1074/$K$2*I1078</f>
        <v>45000</v>
      </c>
      <c r="L1078" s="194"/>
      <c r="M1078" s="158"/>
      <c r="N1078" s="175"/>
      <c r="O1078" s="176" t="s">
        <v>107</v>
      </c>
      <c r="P1078" s="176"/>
      <c r="Q1078" s="176">
        <v>0</v>
      </c>
      <c r="R1078" s="176">
        <f t="shared" si="340"/>
        <v>0</v>
      </c>
      <c r="S1078" s="156"/>
      <c r="T1078" s="176" t="s">
        <v>107</v>
      </c>
      <c r="U1078" s="182">
        <f t="shared" si="341"/>
        <v>0</v>
      </c>
      <c r="V1078" s="178"/>
      <c r="W1078" s="182">
        <f t="shared" si="342"/>
        <v>0</v>
      </c>
      <c r="X1078" s="178"/>
      <c r="Y1078" s="182">
        <f t="shared" si="343"/>
        <v>0</v>
      </c>
    </row>
    <row r="1079" spans="1:25" ht="15" customHeight="1" x14ac:dyDescent="0.2">
      <c r="A1079" s="163"/>
      <c r="B1079" s="195"/>
      <c r="C1079" s="195"/>
      <c r="D1079" s="149"/>
      <c r="E1079" s="149"/>
      <c r="F1079" s="189" t="s">
        <v>9</v>
      </c>
      <c r="G1079" s="190">
        <f>IF($J$1="January",V1074,IF($J$1="February",V1075,IF($J$1="March",V1076,IF($J$1="April",V1077,IF($J$1="May",V1078,IF($J$1="June",V1079,IF($J$1="July",V1080,IF($J$1="August",V1081,IF($J$1="August",V1081,IF($J$1="September",V1082,IF($J$1="October",V1083,IF($J$1="November",V1084,IF($J$1="December",V1085)))))))))))))</f>
        <v>5000</v>
      </c>
      <c r="H1079" s="187"/>
      <c r="I1079" s="191">
        <v>0</v>
      </c>
      <c r="J1079" s="192" t="s">
        <v>108</v>
      </c>
      <c r="K1079" s="190">
        <f>K1074/$K$2/8*I1079</f>
        <v>0</v>
      </c>
      <c r="L1079" s="196"/>
      <c r="M1079" s="158"/>
      <c r="N1079" s="175"/>
      <c r="O1079" s="176" t="s">
        <v>84</v>
      </c>
      <c r="P1079" s="176"/>
      <c r="Q1079" s="176">
        <v>0</v>
      </c>
      <c r="R1079" s="176">
        <f t="shared" si="340"/>
        <v>0</v>
      </c>
      <c r="S1079" s="156"/>
      <c r="T1079" s="176" t="s">
        <v>84</v>
      </c>
      <c r="U1079" s="182">
        <f t="shared" si="341"/>
        <v>0</v>
      </c>
      <c r="V1079" s="178"/>
      <c r="W1079" s="182">
        <f t="shared" si="342"/>
        <v>0</v>
      </c>
      <c r="X1079" s="178"/>
      <c r="Y1079" s="182">
        <f t="shared" si="343"/>
        <v>0</v>
      </c>
    </row>
    <row r="1080" spans="1:25" ht="15" customHeight="1" x14ac:dyDescent="0.2">
      <c r="A1080" s="163"/>
      <c r="B1080" s="189" t="s">
        <v>92</v>
      </c>
      <c r="C1080" s="195">
        <f>IF($J$1="January",P1074,IF($J$1="February",P1075,IF($J$1="March",P1076,IF($J$1="April",P1077,IF($J$1="May",P1078,IF($J$1="June",P1079,IF($J$1="July",P1080,IF($J$1="August",P1081,IF($J$1="August",P1081,IF($J$1="September",P1082,IF($J$1="October",P1083,IF($J$1="November",P1084,IF($J$1="December",P1085)))))))))))))</f>
        <v>30</v>
      </c>
      <c r="D1080" s="149"/>
      <c r="E1080" s="149"/>
      <c r="F1080" s="189" t="s">
        <v>109</v>
      </c>
      <c r="G1080" s="190">
        <f>IF($J$1="January",W1074,IF($J$1="February",W1075,IF($J$1="March",W1076,IF($J$1="April",W1077,IF($J$1="May",W1078,IF($J$1="June",W1079,IF($J$1="July",W1080,IF($J$1="August",W1081,IF($J$1="August",W1081,IF($J$1="September",W1082,IF($J$1="October",W1083,IF($J$1="November",W1084,IF($J$1="December",W1085)))))))))))))</f>
        <v>5000</v>
      </c>
      <c r="H1080" s="187"/>
      <c r="I1080" s="528" t="s">
        <v>110</v>
      </c>
      <c r="J1080" s="503"/>
      <c r="K1080" s="190">
        <f>K1078+K1079</f>
        <v>45000</v>
      </c>
      <c r="L1080" s="196"/>
      <c r="M1080" s="158"/>
      <c r="N1080" s="175"/>
      <c r="O1080" s="176" t="s">
        <v>111</v>
      </c>
      <c r="P1080" s="176"/>
      <c r="Q1080" s="176">
        <v>0</v>
      </c>
      <c r="R1080" s="176">
        <f t="shared" si="340"/>
        <v>0</v>
      </c>
      <c r="S1080" s="156"/>
      <c r="T1080" s="176" t="s">
        <v>111</v>
      </c>
      <c r="U1080" s="182">
        <f t="shared" si="341"/>
        <v>0</v>
      </c>
      <c r="V1080" s="178"/>
      <c r="W1080" s="182">
        <f t="shared" si="342"/>
        <v>0</v>
      </c>
      <c r="X1080" s="178"/>
      <c r="Y1080" s="182">
        <f t="shared" si="343"/>
        <v>0</v>
      </c>
    </row>
    <row r="1081" spans="1:25" ht="15" customHeight="1" x14ac:dyDescent="0.2">
      <c r="A1081" s="163"/>
      <c r="B1081" s="189" t="s">
        <v>93</v>
      </c>
      <c r="C1081" s="195">
        <f>IF($J$1="January",Q1074,IF($J$1="February",Q1075,IF($J$1="March",Q1076,IF($J$1="April",Q1077,IF($J$1="May",Q1078,IF($J$1="June",Q1079,IF($J$1="July",Q1080,IF($J$1="August",Q1081,IF($J$1="August",Q1081,IF($J$1="September",Q1082,IF($J$1="October",Q1083,IF($J$1="November",Q1084,IF($J$1="December",Q1085)))))))))))))</f>
        <v>0</v>
      </c>
      <c r="D1081" s="149"/>
      <c r="E1081" s="149"/>
      <c r="F1081" s="189" t="s">
        <v>11</v>
      </c>
      <c r="G1081" s="190">
        <f>IF($J$1="January",X1074,IF($J$1="February",X1075,IF($J$1="March",X1076,IF($J$1="April",X1077,IF($J$1="May",X1078,IF($J$1="June",X1079,IF($J$1="July",X1080,IF($J$1="August",X1081,IF($J$1="August",X1081,IF($J$1="September",X1082,IF($J$1="October",X1083,IF($J$1="November",X1084,IF($J$1="December",X1085)))))))))))))</f>
        <v>5000</v>
      </c>
      <c r="H1081" s="187"/>
      <c r="I1081" s="528" t="s">
        <v>112</v>
      </c>
      <c r="J1081" s="503"/>
      <c r="K1081" s="190">
        <f>G1081</f>
        <v>5000</v>
      </c>
      <c r="L1081" s="196"/>
      <c r="M1081" s="158"/>
      <c r="N1081" s="175"/>
      <c r="O1081" s="176" t="s">
        <v>113</v>
      </c>
      <c r="P1081" s="176">
        <v>12</v>
      </c>
      <c r="Q1081" s="176">
        <v>0</v>
      </c>
      <c r="R1081" s="176">
        <f t="shared" si="340"/>
        <v>0</v>
      </c>
      <c r="S1081" s="156"/>
      <c r="T1081" s="176" t="s">
        <v>113</v>
      </c>
      <c r="U1081" s="182">
        <f t="shared" si="341"/>
        <v>0</v>
      </c>
      <c r="V1081" s="178"/>
      <c r="W1081" s="182">
        <f t="shared" si="342"/>
        <v>0</v>
      </c>
      <c r="X1081" s="178"/>
      <c r="Y1081" s="182">
        <f t="shared" si="343"/>
        <v>0</v>
      </c>
    </row>
    <row r="1082" spans="1:25" ht="15" customHeight="1" x14ac:dyDescent="0.2">
      <c r="A1082" s="163"/>
      <c r="B1082" s="204" t="s">
        <v>114</v>
      </c>
      <c r="C1082" s="195">
        <f>IF($J$1="January",R1074,IF($J$1="February",R1075,IF($J$1="March",R1076,IF($J$1="April",R1077,IF($J$1="May",R1078,IF($J$1="June",R1079,IF($J$1="July",R1080,IF($J$1="August",R1081,IF($J$1="August",R1081,IF($J$1="September",R1082,IF($J$1="October",R1083,IF($J$1="November",R1084,IF($J$1="December",R1085)))))))))))))</f>
        <v>0</v>
      </c>
      <c r="D1082" s="149"/>
      <c r="E1082" s="149"/>
      <c r="F1082" s="204" t="s">
        <v>115</v>
      </c>
      <c r="G1082" s="190">
        <f>IF($J$1="January",Y1074,IF($J$1="February",Y1075,IF($J$1="March",Y1076,IF($J$1="April",Y1077,IF($J$1="May",Y1078,IF($J$1="June",Y1079,IF($J$1="July",Y1080,IF($J$1="August",Y1081,IF($J$1="August",Y1081,IF($J$1="September",Y1082,IF($J$1="October",Y1083,IF($J$1="November",Y1084,IF($J$1="December",Y1085)))))))))))))</f>
        <v>0</v>
      </c>
      <c r="H1082" s="149"/>
      <c r="I1082" s="529" t="s">
        <v>13</v>
      </c>
      <c r="J1082" s="503"/>
      <c r="K1082" s="37">
        <f>K1080-K1081</f>
        <v>40000</v>
      </c>
      <c r="L1082" s="180"/>
      <c r="M1082" s="158"/>
      <c r="N1082" s="175"/>
      <c r="O1082" s="176" t="s">
        <v>116</v>
      </c>
      <c r="P1082" s="176">
        <v>30</v>
      </c>
      <c r="Q1082" s="176">
        <v>0</v>
      </c>
      <c r="R1082" s="176">
        <f t="shared" si="340"/>
        <v>0</v>
      </c>
      <c r="S1082" s="156"/>
      <c r="T1082" s="176" t="s">
        <v>116</v>
      </c>
      <c r="U1082" s="182">
        <f>IF($J$1="September",Y1081,"")</f>
        <v>0</v>
      </c>
      <c r="V1082" s="178">
        <v>5000</v>
      </c>
      <c r="W1082" s="182">
        <f t="shared" si="342"/>
        <v>5000</v>
      </c>
      <c r="X1082" s="178">
        <v>5000</v>
      </c>
      <c r="Y1082" s="182">
        <f t="shared" si="343"/>
        <v>0</v>
      </c>
    </row>
    <row r="1083" spans="1:25" ht="15" customHeight="1" x14ac:dyDescent="0.2">
      <c r="A1083" s="163"/>
      <c r="B1083" s="149"/>
      <c r="C1083" s="149"/>
      <c r="D1083" s="149"/>
      <c r="E1083" s="149"/>
      <c r="F1083" s="149"/>
      <c r="G1083" s="149"/>
      <c r="H1083" s="149"/>
      <c r="I1083" s="530"/>
      <c r="J1083" s="531"/>
      <c r="K1083" s="151"/>
      <c r="L1083" s="186"/>
      <c r="N1083" s="175"/>
      <c r="O1083" s="176" t="s">
        <v>117</v>
      </c>
      <c r="P1083" s="176"/>
      <c r="Q1083" s="176"/>
      <c r="R1083" s="176" t="str">
        <f t="shared" si="340"/>
        <v/>
      </c>
      <c r="S1083" s="156"/>
      <c r="T1083" s="176" t="s">
        <v>117</v>
      </c>
      <c r="U1083" s="182"/>
      <c r="V1083" s="178"/>
      <c r="W1083" s="182" t="str">
        <f t="shared" si="342"/>
        <v/>
      </c>
      <c r="X1083" s="178"/>
      <c r="Y1083" s="182" t="str">
        <f t="shared" si="343"/>
        <v/>
      </c>
    </row>
    <row r="1084" spans="1:25" ht="15" customHeight="1" x14ac:dyDescent="0.3">
      <c r="A1084" s="163"/>
      <c r="B1084" s="147"/>
      <c r="C1084" s="147"/>
      <c r="D1084" s="147"/>
      <c r="E1084" s="147"/>
      <c r="F1084" s="147"/>
      <c r="G1084" s="147"/>
      <c r="H1084" s="147"/>
      <c r="I1084" s="530"/>
      <c r="J1084" s="531"/>
      <c r="K1084" s="151"/>
      <c r="L1084" s="186"/>
      <c r="N1084" s="175"/>
      <c r="O1084" s="176" t="s">
        <v>118</v>
      </c>
      <c r="P1084" s="176"/>
      <c r="Q1084" s="176"/>
      <c r="R1084" s="176" t="str">
        <f t="shared" si="340"/>
        <v/>
      </c>
      <c r="S1084" s="156"/>
      <c r="T1084" s="176" t="s">
        <v>118</v>
      </c>
      <c r="U1084" s="182"/>
      <c r="V1084" s="178"/>
      <c r="W1084" s="182" t="str">
        <f t="shared" si="342"/>
        <v/>
      </c>
      <c r="X1084" s="178"/>
      <c r="Y1084" s="182" t="str">
        <f t="shared" si="343"/>
        <v/>
      </c>
    </row>
    <row r="1085" spans="1:25" ht="15" customHeight="1" thickBot="1" x14ac:dyDescent="0.35">
      <c r="A1085" s="197"/>
      <c r="B1085" s="198"/>
      <c r="C1085" s="198"/>
      <c r="D1085" s="198"/>
      <c r="E1085" s="198"/>
      <c r="F1085" s="198"/>
      <c r="G1085" s="198"/>
      <c r="H1085" s="198"/>
      <c r="I1085" s="198"/>
      <c r="J1085" s="198"/>
      <c r="K1085" s="198"/>
      <c r="L1085" s="199"/>
      <c r="N1085" s="175"/>
      <c r="O1085" s="176" t="s">
        <v>119</v>
      </c>
      <c r="P1085" s="176"/>
      <c r="Q1085" s="176"/>
      <c r="R1085" s="176" t="str">
        <f t="shared" si="340"/>
        <v/>
      </c>
      <c r="S1085" s="156"/>
      <c r="T1085" s="176" t="s">
        <v>119</v>
      </c>
      <c r="U1085" s="182"/>
      <c r="V1085" s="178"/>
      <c r="W1085" s="182" t="str">
        <f t="shared" si="342"/>
        <v/>
      </c>
      <c r="X1085" s="178"/>
      <c r="Y1085" s="182" t="str">
        <f t="shared" si="343"/>
        <v/>
      </c>
    </row>
    <row r="1086" spans="1:25" ht="15" customHeight="1" x14ac:dyDescent="0.2">
      <c r="A1086" s="200"/>
      <c r="B1086" s="200"/>
      <c r="C1086" s="200"/>
      <c r="D1086" s="200"/>
      <c r="E1086" s="200"/>
      <c r="F1086" s="200"/>
      <c r="G1086" s="200"/>
      <c r="H1086" s="200"/>
      <c r="I1086" s="200"/>
      <c r="J1086" s="200"/>
      <c r="K1086" s="200"/>
      <c r="L1086" s="200"/>
    </row>
  </sheetData>
  <mergeCells count="908">
    <mergeCell ref="I1065:J1065"/>
    <mergeCell ref="I1066:J1066"/>
    <mergeCell ref="I1067:J1067"/>
    <mergeCell ref="I1068:J1068"/>
    <mergeCell ref="A1056:L1056"/>
    <mergeCell ref="C1057:F1057"/>
    <mergeCell ref="H1057:I1057"/>
    <mergeCell ref="F1060:G1060"/>
    <mergeCell ref="I1060:K1060"/>
    <mergeCell ref="O1056:R1056"/>
    <mergeCell ref="T1056:Y1056"/>
    <mergeCell ref="B1062:C1062"/>
    <mergeCell ref="I1064:J1064"/>
    <mergeCell ref="I969:J969"/>
    <mergeCell ref="A973:L973"/>
    <mergeCell ref="I983:J983"/>
    <mergeCell ref="I984:J984"/>
    <mergeCell ref="I985:J985"/>
    <mergeCell ref="O973:R973"/>
    <mergeCell ref="T973:Y973"/>
    <mergeCell ref="C974:F974"/>
    <mergeCell ref="H974:I974"/>
    <mergeCell ref="F977:G977"/>
    <mergeCell ref="I977:K977"/>
    <mergeCell ref="B979:C979"/>
    <mergeCell ref="I981:J981"/>
    <mergeCell ref="I982:J982"/>
    <mergeCell ref="O1005:R1005"/>
    <mergeCell ref="T1005:Y1005"/>
    <mergeCell ref="C1006:F1006"/>
    <mergeCell ref="H1006:I1006"/>
    <mergeCell ref="A989:L989"/>
    <mergeCell ref="O989:R989"/>
    <mergeCell ref="A957:L957"/>
    <mergeCell ref="O957:R957"/>
    <mergeCell ref="T957:Y957"/>
    <mergeCell ref="C958:F958"/>
    <mergeCell ref="H958:I958"/>
    <mergeCell ref="F961:G961"/>
    <mergeCell ref="I961:K961"/>
    <mergeCell ref="B963:C963"/>
    <mergeCell ref="I965:J965"/>
    <mergeCell ref="I966:J966"/>
    <mergeCell ref="I967:J967"/>
    <mergeCell ref="I968:J968"/>
    <mergeCell ref="B282:C282"/>
    <mergeCell ref="F945:G945"/>
    <mergeCell ref="I945:K945"/>
    <mergeCell ref="B947:C947"/>
    <mergeCell ref="I949:J949"/>
    <mergeCell ref="I950:J950"/>
    <mergeCell ref="I951:J951"/>
    <mergeCell ref="I952:J952"/>
    <mergeCell ref="I953:J953"/>
    <mergeCell ref="A941:L941"/>
    <mergeCell ref="I284:J284"/>
    <mergeCell ref="I285:J285"/>
    <mergeCell ref="I286:J286"/>
    <mergeCell ref="I287:J287"/>
    <mergeCell ref="B327:C327"/>
    <mergeCell ref="I329:J329"/>
    <mergeCell ref="I330:J330"/>
    <mergeCell ref="I331:J331"/>
    <mergeCell ref="F310:G310"/>
    <mergeCell ref="B312:C312"/>
    <mergeCell ref="I314:J314"/>
    <mergeCell ref="I315:J315"/>
    <mergeCell ref="I316:J316"/>
    <mergeCell ref="I317:J317"/>
    <mergeCell ref="O941:R941"/>
    <mergeCell ref="T941:Y941"/>
    <mergeCell ref="C942:F942"/>
    <mergeCell ref="H942:I942"/>
    <mergeCell ref="I288:J288"/>
    <mergeCell ref="I289:J289"/>
    <mergeCell ref="A291:L291"/>
    <mergeCell ref="O291:R291"/>
    <mergeCell ref="T291:Y291"/>
    <mergeCell ref="C292:F292"/>
    <mergeCell ref="I318:J318"/>
    <mergeCell ref="F325:G325"/>
    <mergeCell ref="I325:K325"/>
    <mergeCell ref="I310:K310"/>
    <mergeCell ref="A321:L321"/>
    <mergeCell ref="H292:I292"/>
    <mergeCell ref="F295:G295"/>
    <mergeCell ref="I295:K295"/>
    <mergeCell ref="B297:C297"/>
    <mergeCell ref="I299:J299"/>
    <mergeCell ref="I300:J300"/>
    <mergeCell ref="I301:J301"/>
    <mergeCell ref="I302:J302"/>
    <mergeCell ref="I303:J303"/>
    <mergeCell ref="O336:R336"/>
    <mergeCell ref="T336:Y336"/>
    <mergeCell ref="O366:R366"/>
    <mergeCell ref="T366:Y366"/>
    <mergeCell ref="C337:F337"/>
    <mergeCell ref="H337:I337"/>
    <mergeCell ref="I340:K340"/>
    <mergeCell ref="A351:L351"/>
    <mergeCell ref="O351:R351"/>
    <mergeCell ref="T351:Y351"/>
    <mergeCell ref="C352:F352"/>
    <mergeCell ref="H352:I352"/>
    <mergeCell ref="F340:G340"/>
    <mergeCell ref="B342:C342"/>
    <mergeCell ref="I344:J344"/>
    <mergeCell ref="I345:J345"/>
    <mergeCell ref="I346:J346"/>
    <mergeCell ref="I347:J347"/>
    <mergeCell ref="I348:J348"/>
    <mergeCell ref="I332:J332"/>
    <mergeCell ref="I333:J333"/>
    <mergeCell ref="C367:F367"/>
    <mergeCell ref="H367:I367"/>
    <mergeCell ref="B357:C357"/>
    <mergeCell ref="I359:J359"/>
    <mergeCell ref="I360:J360"/>
    <mergeCell ref="I361:J361"/>
    <mergeCell ref="I362:J362"/>
    <mergeCell ref="I363:J363"/>
    <mergeCell ref="A366:L366"/>
    <mergeCell ref="A336:L336"/>
    <mergeCell ref="I439:J439"/>
    <mergeCell ref="A442:L442"/>
    <mergeCell ref="C428:F428"/>
    <mergeCell ref="H428:I428"/>
    <mergeCell ref="F370:G370"/>
    <mergeCell ref="I370:K370"/>
    <mergeCell ref="B372:C372"/>
    <mergeCell ref="I374:J374"/>
    <mergeCell ref="I375:J375"/>
    <mergeCell ref="I376:J376"/>
    <mergeCell ref="I377:J377"/>
    <mergeCell ref="I378:J378"/>
    <mergeCell ref="A381:L381"/>
    <mergeCell ref="I416:K416"/>
    <mergeCell ref="A427:L427"/>
    <mergeCell ref="F431:G431"/>
    <mergeCell ref="I431:K431"/>
    <mergeCell ref="B433:C433"/>
    <mergeCell ref="I435:J435"/>
    <mergeCell ref="I436:J436"/>
    <mergeCell ref="I437:J437"/>
    <mergeCell ref="I438:J438"/>
    <mergeCell ref="B403:C403"/>
    <mergeCell ref="B463:C463"/>
    <mergeCell ref="I465:J465"/>
    <mergeCell ref="I466:J466"/>
    <mergeCell ref="I467:J467"/>
    <mergeCell ref="I468:J468"/>
    <mergeCell ref="I469:J469"/>
    <mergeCell ref="A472:L472"/>
    <mergeCell ref="O472:R472"/>
    <mergeCell ref="O442:R442"/>
    <mergeCell ref="T472:Y472"/>
    <mergeCell ref="C473:F473"/>
    <mergeCell ref="H473:I473"/>
    <mergeCell ref="I476:K476"/>
    <mergeCell ref="A487:L487"/>
    <mergeCell ref="O487:R487"/>
    <mergeCell ref="T487:Y487"/>
    <mergeCell ref="C488:F488"/>
    <mergeCell ref="H488:I488"/>
    <mergeCell ref="F476:G476"/>
    <mergeCell ref="B478:C478"/>
    <mergeCell ref="I480:J480"/>
    <mergeCell ref="I481:J481"/>
    <mergeCell ref="I482:J482"/>
    <mergeCell ref="I483:J483"/>
    <mergeCell ref="I484:J484"/>
    <mergeCell ref="F491:G491"/>
    <mergeCell ref="I491:K491"/>
    <mergeCell ref="B493:C493"/>
    <mergeCell ref="I495:J495"/>
    <mergeCell ref="I496:J496"/>
    <mergeCell ref="I497:J497"/>
    <mergeCell ref="I498:J498"/>
    <mergeCell ref="I499:J499"/>
    <mergeCell ref="A502:L502"/>
    <mergeCell ref="O502:R502"/>
    <mergeCell ref="T502:Y502"/>
    <mergeCell ref="C503:F503"/>
    <mergeCell ref="H503:I503"/>
    <mergeCell ref="I506:K506"/>
    <mergeCell ref="A517:L517"/>
    <mergeCell ref="O517:R517"/>
    <mergeCell ref="T517:Y517"/>
    <mergeCell ref="C518:F518"/>
    <mergeCell ref="H518:I518"/>
    <mergeCell ref="F506:G506"/>
    <mergeCell ref="B508:C508"/>
    <mergeCell ref="I510:J510"/>
    <mergeCell ref="I511:J511"/>
    <mergeCell ref="I512:J512"/>
    <mergeCell ref="I513:J513"/>
    <mergeCell ref="I514:J514"/>
    <mergeCell ref="I544:J544"/>
    <mergeCell ref="F521:G521"/>
    <mergeCell ref="I521:K521"/>
    <mergeCell ref="B523:C523"/>
    <mergeCell ref="I525:J525"/>
    <mergeCell ref="I526:J526"/>
    <mergeCell ref="I527:J527"/>
    <mergeCell ref="I528:J528"/>
    <mergeCell ref="I529:J529"/>
    <mergeCell ref="A532:L532"/>
    <mergeCell ref="O562:R562"/>
    <mergeCell ref="T562:Y562"/>
    <mergeCell ref="C563:F563"/>
    <mergeCell ref="H563:I563"/>
    <mergeCell ref="I566:K566"/>
    <mergeCell ref="A577:L577"/>
    <mergeCell ref="O577:R577"/>
    <mergeCell ref="T577:Y577"/>
    <mergeCell ref="O532:R532"/>
    <mergeCell ref="T532:Y532"/>
    <mergeCell ref="C533:F533"/>
    <mergeCell ref="H533:I533"/>
    <mergeCell ref="I536:K536"/>
    <mergeCell ref="A547:L547"/>
    <mergeCell ref="O547:R547"/>
    <mergeCell ref="T547:Y547"/>
    <mergeCell ref="C548:F548"/>
    <mergeCell ref="H548:I548"/>
    <mergeCell ref="F536:G536"/>
    <mergeCell ref="B538:C538"/>
    <mergeCell ref="I540:J540"/>
    <mergeCell ref="I541:J541"/>
    <mergeCell ref="I542:J542"/>
    <mergeCell ref="I543:J543"/>
    <mergeCell ref="C578:F578"/>
    <mergeCell ref="H578:I578"/>
    <mergeCell ref="F551:G551"/>
    <mergeCell ref="I551:K551"/>
    <mergeCell ref="B553:C553"/>
    <mergeCell ref="I555:J555"/>
    <mergeCell ref="I556:J556"/>
    <mergeCell ref="I557:J557"/>
    <mergeCell ref="I558:J558"/>
    <mergeCell ref="F566:G566"/>
    <mergeCell ref="B568:C568"/>
    <mergeCell ref="I570:J570"/>
    <mergeCell ref="I571:J571"/>
    <mergeCell ref="I572:J572"/>
    <mergeCell ref="I573:J573"/>
    <mergeCell ref="I574:J574"/>
    <mergeCell ref="I559:J559"/>
    <mergeCell ref="A562:L562"/>
    <mergeCell ref="F581:G581"/>
    <mergeCell ref="I581:K581"/>
    <mergeCell ref="B583:C583"/>
    <mergeCell ref="I585:J585"/>
    <mergeCell ref="I586:J586"/>
    <mergeCell ref="I587:J587"/>
    <mergeCell ref="I588:J588"/>
    <mergeCell ref="I589:J589"/>
    <mergeCell ref="A593:L593"/>
    <mergeCell ref="I618:J618"/>
    <mergeCell ref="I619:J619"/>
    <mergeCell ref="I620:J620"/>
    <mergeCell ref="A623:L623"/>
    <mergeCell ref="O593:R593"/>
    <mergeCell ref="T593:Y593"/>
    <mergeCell ref="C594:F594"/>
    <mergeCell ref="H594:I594"/>
    <mergeCell ref="I597:K597"/>
    <mergeCell ref="A608:L608"/>
    <mergeCell ref="O608:R608"/>
    <mergeCell ref="T608:Y608"/>
    <mergeCell ref="C609:F609"/>
    <mergeCell ref="H609:I609"/>
    <mergeCell ref="F597:G597"/>
    <mergeCell ref="B599:C599"/>
    <mergeCell ref="I601:J601"/>
    <mergeCell ref="I602:J602"/>
    <mergeCell ref="I603:J603"/>
    <mergeCell ref="I604:J604"/>
    <mergeCell ref="I605:J605"/>
    <mergeCell ref="O623:R623"/>
    <mergeCell ref="T623:Y623"/>
    <mergeCell ref="C624:F624"/>
    <mergeCell ref="H624:I624"/>
    <mergeCell ref="I627:K627"/>
    <mergeCell ref="A639:L639"/>
    <mergeCell ref="O639:R639"/>
    <mergeCell ref="T639:Y639"/>
    <mergeCell ref="C640:F640"/>
    <mergeCell ref="H640:I640"/>
    <mergeCell ref="F627:G627"/>
    <mergeCell ref="B629:C629"/>
    <mergeCell ref="I631:J631"/>
    <mergeCell ref="I632:J632"/>
    <mergeCell ref="I633:J633"/>
    <mergeCell ref="I634:J634"/>
    <mergeCell ref="I635:J635"/>
    <mergeCell ref="I649:J649"/>
    <mergeCell ref="I650:J650"/>
    <mergeCell ref="I651:J651"/>
    <mergeCell ref="A187:L187"/>
    <mergeCell ref="I214:J214"/>
    <mergeCell ref="A231:L231"/>
    <mergeCell ref="C277:F277"/>
    <mergeCell ref="H277:I277"/>
    <mergeCell ref="F280:G280"/>
    <mergeCell ref="I280:K280"/>
    <mergeCell ref="I241:J241"/>
    <mergeCell ref="I242:J242"/>
    <mergeCell ref="I243:J243"/>
    <mergeCell ref="I408:J408"/>
    <mergeCell ref="A306:L306"/>
    <mergeCell ref="C398:F398"/>
    <mergeCell ref="H398:I398"/>
    <mergeCell ref="F461:G461"/>
    <mergeCell ref="I461:K461"/>
    <mergeCell ref="F612:G612"/>
    <mergeCell ref="I612:K612"/>
    <mergeCell ref="B614:C614"/>
    <mergeCell ref="I616:J616"/>
    <mergeCell ref="I617:J617"/>
    <mergeCell ref="A656:L656"/>
    <mergeCell ref="O656:R656"/>
    <mergeCell ref="T656:Y656"/>
    <mergeCell ref="C657:F657"/>
    <mergeCell ref="H657:I657"/>
    <mergeCell ref="F191:G191"/>
    <mergeCell ref="B193:C193"/>
    <mergeCell ref="I195:J195"/>
    <mergeCell ref="I196:J196"/>
    <mergeCell ref="I197:J197"/>
    <mergeCell ref="I198:J198"/>
    <mergeCell ref="I199:J199"/>
    <mergeCell ref="F206:G206"/>
    <mergeCell ref="I206:K206"/>
    <mergeCell ref="B208:C208"/>
    <mergeCell ref="I210:J210"/>
    <mergeCell ref="I211:J211"/>
    <mergeCell ref="I212:J212"/>
    <mergeCell ref="I213:J213"/>
    <mergeCell ref="F643:G643"/>
    <mergeCell ref="I643:K643"/>
    <mergeCell ref="B645:C645"/>
    <mergeCell ref="I647:J647"/>
    <mergeCell ref="I648:J648"/>
    <mergeCell ref="C660:E660"/>
    <mergeCell ref="F660:G660"/>
    <mergeCell ref="I660:K660"/>
    <mergeCell ref="B662:C662"/>
    <mergeCell ref="I664:J664"/>
    <mergeCell ref="I665:J665"/>
    <mergeCell ref="I666:J666"/>
    <mergeCell ref="I667:J667"/>
    <mergeCell ref="I668:J668"/>
    <mergeCell ref="A671:L671"/>
    <mergeCell ref="O671:R671"/>
    <mergeCell ref="T671:Y671"/>
    <mergeCell ref="C672:F672"/>
    <mergeCell ref="H672:I672"/>
    <mergeCell ref="F675:G675"/>
    <mergeCell ref="I675:K675"/>
    <mergeCell ref="B677:C677"/>
    <mergeCell ref="I679:J679"/>
    <mergeCell ref="I680:J680"/>
    <mergeCell ref="I681:J681"/>
    <mergeCell ref="I682:J682"/>
    <mergeCell ref="I683:J683"/>
    <mergeCell ref="A686:L686"/>
    <mergeCell ref="O686:R686"/>
    <mergeCell ref="T686:Y686"/>
    <mergeCell ref="C687:F687"/>
    <mergeCell ref="H687:I687"/>
    <mergeCell ref="I690:K690"/>
    <mergeCell ref="A702:L702"/>
    <mergeCell ref="O702:R702"/>
    <mergeCell ref="T702:Y702"/>
    <mergeCell ref="C703:F703"/>
    <mergeCell ref="H703:I703"/>
    <mergeCell ref="F690:G690"/>
    <mergeCell ref="B692:C692"/>
    <mergeCell ref="I694:J694"/>
    <mergeCell ref="I695:J695"/>
    <mergeCell ref="I696:J696"/>
    <mergeCell ref="I697:J697"/>
    <mergeCell ref="I698:J698"/>
    <mergeCell ref="F706:G706"/>
    <mergeCell ref="I706:K706"/>
    <mergeCell ref="B708:C708"/>
    <mergeCell ref="I711:J711"/>
    <mergeCell ref="I712:J712"/>
    <mergeCell ref="I713:J713"/>
    <mergeCell ref="A765:L765"/>
    <mergeCell ref="O765:R765"/>
    <mergeCell ref="I737:K737"/>
    <mergeCell ref="B739:C739"/>
    <mergeCell ref="I741:J741"/>
    <mergeCell ref="I742:J742"/>
    <mergeCell ref="I743:J743"/>
    <mergeCell ref="I744:J744"/>
    <mergeCell ref="I745:J745"/>
    <mergeCell ref="A748:L748"/>
    <mergeCell ref="O748:R748"/>
    <mergeCell ref="I759:J759"/>
    <mergeCell ref="I760:J760"/>
    <mergeCell ref="I714:J714"/>
    <mergeCell ref="A718:L718"/>
    <mergeCell ref="O718:R718"/>
    <mergeCell ref="I752:K752"/>
    <mergeCell ref="F752:G752"/>
    <mergeCell ref="I789:J789"/>
    <mergeCell ref="I790:J790"/>
    <mergeCell ref="I791:J791"/>
    <mergeCell ref="I792:J792"/>
    <mergeCell ref="I793:J793"/>
    <mergeCell ref="O797:R797"/>
    <mergeCell ref="O781:R781"/>
    <mergeCell ref="B787:C787"/>
    <mergeCell ref="T765:Y765"/>
    <mergeCell ref="C766:F766"/>
    <mergeCell ref="H766:I766"/>
    <mergeCell ref="F769:G769"/>
    <mergeCell ref="B771:C771"/>
    <mergeCell ref="I769:K769"/>
    <mergeCell ref="I773:J773"/>
    <mergeCell ref="I774:J774"/>
    <mergeCell ref="I775:J775"/>
    <mergeCell ref="T797:Y797"/>
    <mergeCell ref="A797:L797"/>
    <mergeCell ref="C798:F798"/>
    <mergeCell ref="H798:I798"/>
    <mergeCell ref="F801:G801"/>
    <mergeCell ref="I801:K801"/>
    <mergeCell ref="B803:C803"/>
    <mergeCell ref="I805:J805"/>
    <mergeCell ref="I806:J806"/>
    <mergeCell ref="I807:J807"/>
    <mergeCell ref="I808:J808"/>
    <mergeCell ref="I809:J809"/>
    <mergeCell ref="A813:L813"/>
    <mergeCell ref="O813:R813"/>
    <mergeCell ref="T813:Y813"/>
    <mergeCell ref="C814:F814"/>
    <mergeCell ref="H814:I814"/>
    <mergeCell ref="F817:G817"/>
    <mergeCell ref="I817:K817"/>
    <mergeCell ref="B819:C819"/>
    <mergeCell ref="I821:J821"/>
    <mergeCell ref="I822:J822"/>
    <mergeCell ref="I823:J823"/>
    <mergeCell ref="I824:J824"/>
    <mergeCell ref="I825:J825"/>
    <mergeCell ref="A829:L829"/>
    <mergeCell ref="O829:R829"/>
    <mergeCell ref="T829:Y829"/>
    <mergeCell ref="C830:F830"/>
    <mergeCell ref="H830:I830"/>
    <mergeCell ref="F833:G833"/>
    <mergeCell ref="I833:K833"/>
    <mergeCell ref="B835:C835"/>
    <mergeCell ref="I837:J837"/>
    <mergeCell ref="I838:J838"/>
    <mergeCell ref="I839:J839"/>
    <mergeCell ref="F849:G849"/>
    <mergeCell ref="I849:K849"/>
    <mergeCell ref="B851:C851"/>
    <mergeCell ref="I853:J853"/>
    <mergeCell ref="I854:J854"/>
    <mergeCell ref="I855:J855"/>
    <mergeCell ref="I856:J856"/>
    <mergeCell ref="I857:J857"/>
    <mergeCell ref="I840:J840"/>
    <mergeCell ref="I841:J841"/>
    <mergeCell ref="A845:L845"/>
    <mergeCell ref="O845:R845"/>
    <mergeCell ref="T845:Y845"/>
    <mergeCell ref="C846:F846"/>
    <mergeCell ref="H846:I846"/>
    <mergeCell ref="T718:Y718"/>
    <mergeCell ref="C719:F719"/>
    <mergeCell ref="H719:I719"/>
    <mergeCell ref="I722:K722"/>
    <mergeCell ref="A733:L733"/>
    <mergeCell ref="O733:R733"/>
    <mergeCell ref="T733:Y733"/>
    <mergeCell ref="C734:F734"/>
    <mergeCell ref="H734:I734"/>
    <mergeCell ref="F722:G722"/>
    <mergeCell ref="B724:C724"/>
    <mergeCell ref="I726:J726"/>
    <mergeCell ref="I727:J727"/>
    <mergeCell ref="I728:J728"/>
    <mergeCell ref="I729:J729"/>
    <mergeCell ref="I730:J730"/>
    <mergeCell ref="F737:G737"/>
    <mergeCell ref="T748:Y748"/>
    <mergeCell ref="C749:F749"/>
    <mergeCell ref="H749:I749"/>
    <mergeCell ref="B754:C754"/>
    <mergeCell ref="I756:J756"/>
    <mergeCell ref="I757:J757"/>
    <mergeCell ref="I758:J758"/>
    <mergeCell ref="T781:Y781"/>
    <mergeCell ref="C782:F782"/>
    <mergeCell ref="H782:I782"/>
    <mergeCell ref="F785:G785"/>
    <mergeCell ref="I785:K785"/>
    <mergeCell ref="I776:J776"/>
    <mergeCell ref="I777:J777"/>
    <mergeCell ref="A781:L781"/>
    <mergeCell ref="C1:I1"/>
    <mergeCell ref="A7:L7"/>
    <mergeCell ref="O7:R7"/>
    <mergeCell ref="T7:Y7"/>
    <mergeCell ref="C8:F8"/>
    <mergeCell ref="H8:I8"/>
    <mergeCell ref="I11:K11"/>
    <mergeCell ref="A22:L22"/>
    <mergeCell ref="O22:R22"/>
    <mergeCell ref="T22:Y22"/>
    <mergeCell ref="C23:F23"/>
    <mergeCell ref="H23:I23"/>
    <mergeCell ref="F11:G11"/>
    <mergeCell ref="B13:C13"/>
    <mergeCell ref="I15:J15"/>
    <mergeCell ref="I16:J16"/>
    <mergeCell ref="I17:J17"/>
    <mergeCell ref="I18:J18"/>
    <mergeCell ref="I19:J19"/>
    <mergeCell ref="O37:R37"/>
    <mergeCell ref="T37:Y37"/>
    <mergeCell ref="F26:G26"/>
    <mergeCell ref="I26:K26"/>
    <mergeCell ref="B28:C28"/>
    <mergeCell ref="I30:J30"/>
    <mergeCell ref="I31:J31"/>
    <mergeCell ref="I32:J32"/>
    <mergeCell ref="A37:L37"/>
    <mergeCell ref="C38:F38"/>
    <mergeCell ref="H38:I38"/>
    <mergeCell ref="F41:G41"/>
    <mergeCell ref="I41:K41"/>
    <mergeCell ref="B43:C43"/>
    <mergeCell ref="I45:J45"/>
    <mergeCell ref="I46:J46"/>
    <mergeCell ref="I47:J47"/>
    <mergeCell ref="I48:J48"/>
    <mergeCell ref="O67:R67"/>
    <mergeCell ref="T67:Y67"/>
    <mergeCell ref="C68:F68"/>
    <mergeCell ref="H68:I68"/>
    <mergeCell ref="I49:J49"/>
    <mergeCell ref="A52:L52"/>
    <mergeCell ref="O52:R52"/>
    <mergeCell ref="T52:Y52"/>
    <mergeCell ref="C53:F53"/>
    <mergeCell ref="H53:I53"/>
    <mergeCell ref="F56:G56"/>
    <mergeCell ref="I56:K56"/>
    <mergeCell ref="B58:C58"/>
    <mergeCell ref="F71:G71"/>
    <mergeCell ref="I71:K71"/>
    <mergeCell ref="B73:C73"/>
    <mergeCell ref="I75:J75"/>
    <mergeCell ref="I76:J76"/>
    <mergeCell ref="I77:J77"/>
    <mergeCell ref="I78:J78"/>
    <mergeCell ref="A82:L82"/>
    <mergeCell ref="I60:J60"/>
    <mergeCell ref="I61:J61"/>
    <mergeCell ref="I62:J62"/>
    <mergeCell ref="I63:J63"/>
    <mergeCell ref="A67:L67"/>
    <mergeCell ref="O82:R82"/>
    <mergeCell ref="T82:Y82"/>
    <mergeCell ref="C83:F83"/>
    <mergeCell ref="H83:I83"/>
    <mergeCell ref="I86:K86"/>
    <mergeCell ref="A97:L97"/>
    <mergeCell ref="O97:R97"/>
    <mergeCell ref="T97:Y97"/>
    <mergeCell ref="C98:F98"/>
    <mergeCell ref="H98:I98"/>
    <mergeCell ref="F86:G86"/>
    <mergeCell ref="B88:C88"/>
    <mergeCell ref="I90:J90"/>
    <mergeCell ref="I91:J91"/>
    <mergeCell ref="I92:J92"/>
    <mergeCell ref="I93:J93"/>
    <mergeCell ref="I94:J94"/>
    <mergeCell ref="F101:G101"/>
    <mergeCell ref="I101:K101"/>
    <mergeCell ref="B103:C103"/>
    <mergeCell ref="I105:J105"/>
    <mergeCell ref="I106:J106"/>
    <mergeCell ref="I107:J107"/>
    <mergeCell ref="I108:J108"/>
    <mergeCell ref="I109:J109"/>
    <mergeCell ref="A112:L112"/>
    <mergeCell ref="O112:R112"/>
    <mergeCell ref="T112:Y112"/>
    <mergeCell ref="C113:F113"/>
    <mergeCell ref="H113:I113"/>
    <mergeCell ref="I116:K116"/>
    <mergeCell ref="A127:L127"/>
    <mergeCell ref="O127:R127"/>
    <mergeCell ref="T127:Y127"/>
    <mergeCell ref="C128:F128"/>
    <mergeCell ref="H128:I128"/>
    <mergeCell ref="F116:G116"/>
    <mergeCell ref="B118:C118"/>
    <mergeCell ref="I120:J120"/>
    <mergeCell ref="I121:J121"/>
    <mergeCell ref="I122:J122"/>
    <mergeCell ref="I123:J123"/>
    <mergeCell ref="I124:J124"/>
    <mergeCell ref="F131:G131"/>
    <mergeCell ref="I131:K131"/>
    <mergeCell ref="B133:C133"/>
    <mergeCell ref="I135:J135"/>
    <mergeCell ref="I136:J136"/>
    <mergeCell ref="I137:J137"/>
    <mergeCell ref="I138:J138"/>
    <mergeCell ref="I139:J139"/>
    <mergeCell ref="A142:L142"/>
    <mergeCell ref="O142:R142"/>
    <mergeCell ref="T142:Y142"/>
    <mergeCell ref="C143:F143"/>
    <mergeCell ref="H143:I143"/>
    <mergeCell ref="I146:K146"/>
    <mergeCell ref="A157:L157"/>
    <mergeCell ref="O157:R157"/>
    <mergeCell ref="T157:Y157"/>
    <mergeCell ref="C158:F158"/>
    <mergeCell ref="H158:I158"/>
    <mergeCell ref="F146:G146"/>
    <mergeCell ref="B148:C148"/>
    <mergeCell ref="I150:J150"/>
    <mergeCell ref="I151:J151"/>
    <mergeCell ref="I152:J152"/>
    <mergeCell ref="I153:J153"/>
    <mergeCell ref="I154:J154"/>
    <mergeCell ref="C188:F188"/>
    <mergeCell ref="H188:I188"/>
    <mergeCell ref="I191:K191"/>
    <mergeCell ref="F161:G161"/>
    <mergeCell ref="I161:K161"/>
    <mergeCell ref="B163:C163"/>
    <mergeCell ref="I165:J165"/>
    <mergeCell ref="I166:J166"/>
    <mergeCell ref="I167:J167"/>
    <mergeCell ref="I168:J168"/>
    <mergeCell ref="I169:J169"/>
    <mergeCell ref="A172:L172"/>
    <mergeCell ref="O261:R261"/>
    <mergeCell ref="T261:Y261"/>
    <mergeCell ref="C262:F262"/>
    <mergeCell ref="H262:I262"/>
    <mergeCell ref="I265:K265"/>
    <mergeCell ref="O172:R172"/>
    <mergeCell ref="T172:Y172"/>
    <mergeCell ref="C173:F173"/>
    <mergeCell ref="H173:I173"/>
    <mergeCell ref="I176:K176"/>
    <mergeCell ref="A202:L202"/>
    <mergeCell ref="O202:R202"/>
    <mergeCell ref="T202:Y202"/>
    <mergeCell ref="C203:F203"/>
    <mergeCell ref="H203:I203"/>
    <mergeCell ref="F176:G176"/>
    <mergeCell ref="B178:C178"/>
    <mergeCell ref="I180:J180"/>
    <mergeCell ref="I181:J181"/>
    <mergeCell ref="I182:J182"/>
    <mergeCell ref="I183:J183"/>
    <mergeCell ref="I184:J184"/>
    <mergeCell ref="O187:R187"/>
    <mergeCell ref="T187:Y187"/>
    <mergeCell ref="O231:R231"/>
    <mergeCell ref="T231:Y231"/>
    <mergeCell ref="C232:F232"/>
    <mergeCell ref="H232:I232"/>
    <mergeCell ref="I235:K235"/>
    <mergeCell ref="F235:G235"/>
    <mergeCell ref="B237:C237"/>
    <mergeCell ref="I239:J239"/>
    <mergeCell ref="I240:J240"/>
    <mergeCell ref="A276:L276"/>
    <mergeCell ref="A261:L261"/>
    <mergeCell ref="T246:Y246"/>
    <mergeCell ref="O246:R246"/>
    <mergeCell ref="A246:L246"/>
    <mergeCell ref="I255:J255"/>
    <mergeCell ref="I254:J254"/>
    <mergeCell ref="B252:C252"/>
    <mergeCell ref="I250:K250"/>
    <mergeCell ref="F250:G250"/>
    <mergeCell ref="H247:I247"/>
    <mergeCell ref="C247:F247"/>
    <mergeCell ref="I258:J258"/>
    <mergeCell ref="I257:J257"/>
    <mergeCell ref="I256:J256"/>
    <mergeCell ref="O276:R276"/>
    <mergeCell ref="T276:Y276"/>
    <mergeCell ref="F265:G265"/>
    <mergeCell ref="B267:C267"/>
    <mergeCell ref="I269:J269"/>
    <mergeCell ref="I270:J270"/>
    <mergeCell ref="I271:J271"/>
    <mergeCell ref="I272:J272"/>
    <mergeCell ref="I273:J273"/>
    <mergeCell ref="O306:R306"/>
    <mergeCell ref="T306:Y306"/>
    <mergeCell ref="C307:F307"/>
    <mergeCell ref="H307:I307"/>
    <mergeCell ref="O321:R321"/>
    <mergeCell ref="T321:Y321"/>
    <mergeCell ref="C322:F322"/>
    <mergeCell ref="H322:I322"/>
    <mergeCell ref="T397:Y397"/>
    <mergeCell ref="F385:G385"/>
    <mergeCell ref="B387:C387"/>
    <mergeCell ref="I389:J389"/>
    <mergeCell ref="I390:J390"/>
    <mergeCell ref="I391:J391"/>
    <mergeCell ref="I392:J392"/>
    <mergeCell ref="I393:J393"/>
    <mergeCell ref="O381:R381"/>
    <mergeCell ref="T381:Y381"/>
    <mergeCell ref="F355:G355"/>
    <mergeCell ref="I355:K355"/>
    <mergeCell ref="C382:F382"/>
    <mergeCell ref="H382:I382"/>
    <mergeCell ref="I385:K385"/>
    <mergeCell ref="A397:L397"/>
    <mergeCell ref="O397:R397"/>
    <mergeCell ref="O427:R427"/>
    <mergeCell ref="T427:Y427"/>
    <mergeCell ref="F416:G416"/>
    <mergeCell ref="B418:C418"/>
    <mergeCell ref="I420:J420"/>
    <mergeCell ref="I421:J421"/>
    <mergeCell ref="I422:J422"/>
    <mergeCell ref="I423:J423"/>
    <mergeCell ref="I424:J424"/>
    <mergeCell ref="I409:J409"/>
    <mergeCell ref="A412:L412"/>
    <mergeCell ref="O412:R412"/>
    <mergeCell ref="T412:Y412"/>
    <mergeCell ref="C413:F413"/>
    <mergeCell ref="H413:I413"/>
    <mergeCell ref="F401:G401"/>
    <mergeCell ref="I401:K401"/>
    <mergeCell ref="I406:J406"/>
    <mergeCell ref="I407:J407"/>
    <mergeCell ref="I405:J405"/>
    <mergeCell ref="T442:Y442"/>
    <mergeCell ref="C443:F443"/>
    <mergeCell ref="H443:I443"/>
    <mergeCell ref="I446:K446"/>
    <mergeCell ref="A457:L457"/>
    <mergeCell ref="O457:R457"/>
    <mergeCell ref="T457:Y457"/>
    <mergeCell ref="C458:F458"/>
    <mergeCell ref="H458:I458"/>
    <mergeCell ref="F446:G446"/>
    <mergeCell ref="B448:C448"/>
    <mergeCell ref="I450:J450"/>
    <mergeCell ref="I451:J451"/>
    <mergeCell ref="I452:J452"/>
    <mergeCell ref="I453:J453"/>
    <mergeCell ref="I454:J454"/>
    <mergeCell ref="A861:L861"/>
    <mergeCell ref="O861:R861"/>
    <mergeCell ref="T861:Y861"/>
    <mergeCell ref="C862:F862"/>
    <mergeCell ref="H862:I862"/>
    <mergeCell ref="F865:G865"/>
    <mergeCell ref="I865:K865"/>
    <mergeCell ref="B867:C867"/>
    <mergeCell ref="I869:J869"/>
    <mergeCell ref="I870:J870"/>
    <mergeCell ref="I871:J871"/>
    <mergeCell ref="I872:J872"/>
    <mergeCell ref="I873:J873"/>
    <mergeCell ref="A877:L877"/>
    <mergeCell ref="O877:R877"/>
    <mergeCell ref="T877:Y877"/>
    <mergeCell ref="C878:F878"/>
    <mergeCell ref="H878:I878"/>
    <mergeCell ref="F881:G881"/>
    <mergeCell ref="I881:K881"/>
    <mergeCell ref="B883:C883"/>
    <mergeCell ref="I885:J885"/>
    <mergeCell ref="I886:J886"/>
    <mergeCell ref="I887:J887"/>
    <mergeCell ref="I888:J888"/>
    <mergeCell ref="I889:J889"/>
    <mergeCell ref="A893:L893"/>
    <mergeCell ref="O909:R909"/>
    <mergeCell ref="T909:Y909"/>
    <mergeCell ref="C910:F910"/>
    <mergeCell ref="H910:I910"/>
    <mergeCell ref="F913:G913"/>
    <mergeCell ref="I913:K913"/>
    <mergeCell ref="O893:R893"/>
    <mergeCell ref="T893:Y893"/>
    <mergeCell ref="C894:F894"/>
    <mergeCell ref="H894:I894"/>
    <mergeCell ref="F897:G897"/>
    <mergeCell ref="I897:K897"/>
    <mergeCell ref="B899:C899"/>
    <mergeCell ref="I901:J901"/>
    <mergeCell ref="I902:J902"/>
    <mergeCell ref="B915:C915"/>
    <mergeCell ref="I917:J917"/>
    <mergeCell ref="I918:J918"/>
    <mergeCell ref="I919:J919"/>
    <mergeCell ref="I920:J920"/>
    <mergeCell ref="I921:J921"/>
    <mergeCell ref="I903:J903"/>
    <mergeCell ref="I904:J904"/>
    <mergeCell ref="I905:J905"/>
    <mergeCell ref="A909:L909"/>
    <mergeCell ref="I933:J933"/>
    <mergeCell ref="I934:J934"/>
    <mergeCell ref="I935:J935"/>
    <mergeCell ref="I936:J936"/>
    <mergeCell ref="I937:J937"/>
    <mergeCell ref="A925:L925"/>
    <mergeCell ref="O925:R925"/>
    <mergeCell ref="T925:Y925"/>
    <mergeCell ref="C926:F926"/>
    <mergeCell ref="H926:I926"/>
    <mergeCell ref="F929:G929"/>
    <mergeCell ref="I929:K929"/>
    <mergeCell ref="B931:C931"/>
    <mergeCell ref="T989:Y989"/>
    <mergeCell ref="C990:F990"/>
    <mergeCell ref="H990:I990"/>
    <mergeCell ref="F993:G993"/>
    <mergeCell ref="I993:K993"/>
    <mergeCell ref="B995:C995"/>
    <mergeCell ref="I997:J997"/>
    <mergeCell ref="F1009:G1009"/>
    <mergeCell ref="I1009:K1009"/>
    <mergeCell ref="B1011:C1011"/>
    <mergeCell ref="I1013:J1013"/>
    <mergeCell ref="I1014:J1014"/>
    <mergeCell ref="I1015:J1015"/>
    <mergeCell ref="I1016:J1016"/>
    <mergeCell ref="I1017:J1017"/>
    <mergeCell ref="I998:J998"/>
    <mergeCell ref="I999:J999"/>
    <mergeCell ref="I1000:J1000"/>
    <mergeCell ref="I1001:J1001"/>
    <mergeCell ref="A1005:L1005"/>
    <mergeCell ref="T1037:Y1037"/>
    <mergeCell ref="A1024:L1024"/>
    <mergeCell ref="C1025:F1025"/>
    <mergeCell ref="H1025:I1025"/>
    <mergeCell ref="F1028:G1028"/>
    <mergeCell ref="I1028:K1028"/>
    <mergeCell ref="O1021:R1021"/>
    <mergeCell ref="T1021:Y1021"/>
    <mergeCell ref="B1030:C1030"/>
    <mergeCell ref="I1032:J1032"/>
    <mergeCell ref="I1052:J1052"/>
    <mergeCell ref="I1033:J1033"/>
    <mergeCell ref="I1034:J1034"/>
    <mergeCell ref="I1035:J1035"/>
    <mergeCell ref="I1036:J1036"/>
    <mergeCell ref="A1040:L1040"/>
    <mergeCell ref="C1041:F1041"/>
    <mergeCell ref="H1041:I1041"/>
    <mergeCell ref="O1037:R1037"/>
    <mergeCell ref="A217:L217"/>
    <mergeCell ref="C218:F218"/>
    <mergeCell ref="H218:I218"/>
    <mergeCell ref="F221:G221"/>
    <mergeCell ref="I221:K221"/>
    <mergeCell ref="O217:R217"/>
    <mergeCell ref="T217:Y217"/>
    <mergeCell ref="B223:C223"/>
    <mergeCell ref="I225:J225"/>
    <mergeCell ref="O1072:R1072"/>
    <mergeCell ref="T1072:Y1072"/>
    <mergeCell ref="B1078:C1078"/>
    <mergeCell ref="I1080:J1080"/>
    <mergeCell ref="I1081:J1081"/>
    <mergeCell ref="I1082:J1082"/>
    <mergeCell ref="I1083:J1083"/>
    <mergeCell ref="I1084:J1084"/>
    <mergeCell ref="I226:J226"/>
    <mergeCell ref="I227:J227"/>
    <mergeCell ref="I228:J228"/>
    <mergeCell ref="I229:J229"/>
    <mergeCell ref="A1072:L1072"/>
    <mergeCell ref="C1073:F1073"/>
    <mergeCell ref="H1073:I1073"/>
    <mergeCell ref="F1076:G1076"/>
    <mergeCell ref="I1076:K1076"/>
    <mergeCell ref="F1044:G1044"/>
    <mergeCell ref="I1044:K1044"/>
    <mergeCell ref="B1046:C1046"/>
    <mergeCell ref="I1048:J1048"/>
    <mergeCell ref="I1049:J1049"/>
    <mergeCell ref="I1050:J1050"/>
    <mergeCell ref="I1051:J1051"/>
  </mergeCells>
  <printOptions horizontalCentered="1"/>
  <pageMargins left="0" right="0" top="0" bottom="0" header="0.3" footer="0.3"/>
  <pageSetup paperSize="9" scale="94" fitToHeight="0" orientation="portrait" horizontalDpi="4294967295" verticalDpi="4294967295" r:id="rId1"/>
  <rowBreaks count="1" manualBreakCount="1">
    <brk id="9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890A-4E96-45B7-B5E0-9B3A15FCEB40}">
  <sheetPr>
    <pageSetUpPr fitToPage="1"/>
  </sheetPr>
  <dimension ref="A1:AG43"/>
  <sheetViews>
    <sheetView topLeftCell="A15" zoomScaleNormal="100" workbookViewId="0">
      <selection activeCell="A32" sqref="A32"/>
    </sheetView>
  </sheetViews>
  <sheetFormatPr defaultColWidth="8.85546875" defaultRowHeight="12.75" x14ac:dyDescent="0.2"/>
  <cols>
    <col min="2" max="2" width="24.5703125" bestFit="1" customWidth="1"/>
    <col min="3" max="3" width="7.7109375" bestFit="1" customWidth="1"/>
    <col min="4" max="4" width="13.42578125" bestFit="1" customWidth="1"/>
    <col min="5" max="5" width="16.85546875" bestFit="1" customWidth="1"/>
    <col min="6" max="6" width="24.5703125" bestFit="1" customWidth="1"/>
    <col min="7" max="7" width="7.7109375" bestFit="1" customWidth="1"/>
    <col min="8" max="8" width="13.42578125" bestFit="1" customWidth="1"/>
    <col min="9" max="9" width="16.85546875" bestFit="1" customWidth="1"/>
    <col min="10" max="10" width="24.5703125" bestFit="1" customWidth="1"/>
    <col min="12" max="12" width="13.42578125" bestFit="1" customWidth="1"/>
    <col min="13" max="13" width="16.85546875" bestFit="1" customWidth="1"/>
    <col min="14" max="14" width="24.5703125" bestFit="1" customWidth="1"/>
    <col min="16" max="16" width="13.42578125" bestFit="1" customWidth="1"/>
    <col min="17" max="17" width="16.85546875" bestFit="1" customWidth="1"/>
    <col min="18" max="18" width="24.5703125" bestFit="1" customWidth="1"/>
    <col min="20" max="20" width="13.42578125" bestFit="1" customWidth="1"/>
    <col min="21" max="21" width="16.85546875" bestFit="1" customWidth="1"/>
    <col min="22" max="22" width="24.5703125" bestFit="1" customWidth="1"/>
    <col min="23" max="23" width="7.7109375" bestFit="1" customWidth="1"/>
    <col min="24" max="24" width="13.42578125" bestFit="1" customWidth="1"/>
    <col min="25" max="25" width="16.85546875" bestFit="1" customWidth="1"/>
    <col min="26" max="26" width="24.5703125" bestFit="1" customWidth="1"/>
    <col min="28" max="28" width="13.42578125" bestFit="1" customWidth="1"/>
    <col min="29" max="29" width="16.85546875" bestFit="1" customWidth="1"/>
    <col min="30" max="30" width="21.7109375" bestFit="1" customWidth="1"/>
    <col min="32" max="32" width="13.42578125" bestFit="1" customWidth="1"/>
    <col min="33" max="33" width="16.85546875" bestFit="1" customWidth="1"/>
  </cols>
  <sheetData>
    <row r="1" spans="1:33" s="401" customFormat="1" ht="28.15" customHeight="1" x14ac:dyDescent="0.2">
      <c r="A1" s="595" t="s">
        <v>325</v>
      </c>
      <c r="B1" s="595"/>
      <c r="C1" s="595"/>
      <c r="D1" s="595"/>
      <c r="E1" s="595"/>
      <c r="F1" s="595"/>
      <c r="G1" s="595"/>
      <c r="H1" s="595"/>
      <c r="I1" s="595"/>
      <c r="J1" s="595"/>
      <c r="K1" s="595"/>
      <c r="L1" s="595"/>
      <c r="M1" s="595"/>
      <c r="N1" s="595"/>
      <c r="O1" s="595"/>
      <c r="P1" s="595"/>
      <c r="Q1" s="595"/>
      <c r="R1" s="595"/>
      <c r="S1" s="595"/>
      <c r="T1" s="595"/>
      <c r="U1" s="595"/>
      <c r="V1" s="595"/>
      <c r="W1" s="595"/>
      <c r="X1" s="595"/>
      <c r="Y1" s="595"/>
      <c r="Z1" s="595"/>
      <c r="AA1" s="595"/>
      <c r="AB1" s="595"/>
      <c r="AC1" s="595"/>
      <c r="AD1" s="595"/>
      <c r="AE1" s="595"/>
      <c r="AF1" s="595"/>
      <c r="AG1" s="595"/>
    </row>
    <row r="2" spans="1:33" s="401" customFormat="1" ht="13.15" customHeight="1" x14ac:dyDescent="0.2">
      <c r="A2" s="595"/>
      <c r="B2" s="595"/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595"/>
      <c r="T2" s="595"/>
      <c r="U2" s="595"/>
      <c r="V2" s="595"/>
      <c r="W2" s="595"/>
      <c r="X2" s="595"/>
      <c r="Y2" s="595"/>
      <c r="Z2" s="595"/>
      <c r="AA2" s="595"/>
      <c r="AB2" s="595"/>
      <c r="AC2" s="595"/>
      <c r="AD2" s="595"/>
      <c r="AE2" s="595"/>
      <c r="AF2" s="595"/>
      <c r="AG2" s="595"/>
    </row>
    <row r="3" spans="1:33" s="401" customFormat="1" ht="13.15" customHeight="1" x14ac:dyDescent="0.2">
      <c r="A3" s="595"/>
      <c r="B3" s="595"/>
      <c r="C3" s="595"/>
      <c r="D3" s="595"/>
      <c r="E3" s="595"/>
      <c r="F3" s="595"/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5"/>
      <c r="U3" s="595"/>
      <c r="V3" s="595"/>
      <c r="W3" s="595"/>
      <c r="X3" s="595"/>
      <c r="Y3" s="595"/>
      <c r="Z3" s="595"/>
      <c r="AA3" s="595"/>
      <c r="AB3" s="595"/>
      <c r="AC3" s="595"/>
      <c r="AD3" s="595"/>
      <c r="AE3" s="595"/>
      <c r="AF3" s="595"/>
      <c r="AG3" s="595"/>
    </row>
    <row r="4" spans="1:33" s="401" customFormat="1" ht="13.9" customHeight="1" x14ac:dyDescent="0.2">
      <c r="A4" s="595"/>
      <c r="B4" s="595"/>
      <c r="C4" s="595"/>
      <c r="D4" s="595"/>
      <c r="E4" s="595"/>
      <c r="F4" s="595"/>
      <c r="G4" s="595"/>
      <c r="H4" s="595"/>
      <c r="I4" s="595"/>
      <c r="J4" s="595"/>
      <c r="K4" s="595"/>
      <c r="L4" s="595"/>
      <c r="M4" s="595"/>
      <c r="N4" s="595"/>
      <c r="O4" s="595"/>
      <c r="P4" s="595"/>
      <c r="Q4" s="595"/>
      <c r="R4" s="595"/>
      <c r="S4" s="595"/>
      <c r="T4" s="595"/>
      <c r="U4" s="595"/>
      <c r="V4" s="595"/>
      <c r="W4" s="595"/>
      <c r="X4" s="595"/>
      <c r="Y4" s="595"/>
      <c r="Z4" s="595"/>
      <c r="AA4" s="595"/>
      <c r="AB4" s="595"/>
      <c r="AC4" s="595"/>
      <c r="AD4" s="595"/>
      <c r="AE4" s="595"/>
      <c r="AF4" s="595"/>
      <c r="AG4" s="595"/>
    </row>
    <row r="5" spans="1:33" s="400" customFormat="1" ht="25.9" customHeight="1" x14ac:dyDescent="0.2">
      <c r="A5" s="596" t="s">
        <v>319</v>
      </c>
      <c r="B5" s="597" t="s">
        <v>304</v>
      </c>
      <c r="C5" s="597"/>
      <c r="D5" s="597"/>
      <c r="E5" s="597"/>
      <c r="F5" s="597" t="s">
        <v>260</v>
      </c>
      <c r="G5" s="597"/>
      <c r="H5" s="597"/>
      <c r="I5" s="597"/>
      <c r="J5" s="597" t="s">
        <v>311</v>
      </c>
      <c r="K5" s="597"/>
      <c r="L5" s="597"/>
      <c r="M5" s="597"/>
      <c r="N5" s="597" t="s">
        <v>136</v>
      </c>
      <c r="O5" s="597"/>
      <c r="P5" s="597"/>
      <c r="Q5" s="597"/>
      <c r="R5" s="597" t="s">
        <v>214</v>
      </c>
      <c r="S5" s="597"/>
      <c r="T5" s="597"/>
      <c r="U5" s="597"/>
      <c r="V5" s="597" t="s">
        <v>312</v>
      </c>
      <c r="W5" s="597"/>
      <c r="X5" s="597"/>
      <c r="Y5" s="597"/>
      <c r="Z5" s="597" t="s">
        <v>313</v>
      </c>
      <c r="AA5" s="597"/>
      <c r="AB5" s="597"/>
      <c r="AC5" s="597"/>
      <c r="AD5" s="597" t="s">
        <v>290</v>
      </c>
      <c r="AE5" s="597"/>
      <c r="AF5" s="597"/>
      <c r="AG5" s="597"/>
    </row>
    <row r="6" spans="1:33" s="400" customFormat="1" ht="15.75" x14ac:dyDescent="0.2">
      <c r="A6" s="596"/>
      <c r="B6" s="402" t="s">
        <v>314</v>
      </c>
      <c r="C6" s="402" t="s">
        <v>315</v>
      </c>
      <c r="D6" s="402" t="s">
        <v>321</v>
      </c>
      <c r="E6" s="402" t="s">
        <v>320</v>
      </c>
      <c r="F6" s="402" t="s">
        <v>314</v>
      </c>
      <c r="G6" s="402" t="s">
        <v>315</v>
      </c>
      <c r="H6" s="402" t="s">
        <v>321</v>
      </c>
      <c r="I6" s="402" t="s">
        <v>322</v>
      </c>
      <c r="J6" s="402" t="s">
        <v>314</v>
      </c>
      <c r="K6" s="402" t="s">
        <v>315</v>
      </c>
      <c r="L6" s="402" t="s">
        <v>321</v>
      </c>
      <c r="M6" s="402" t="s">
        <v>322</v>
      </c>
      <c r="N6" s="402" t="s">
        <v>314</v>
      </c>
      <c r="O6" s="402" t="s">
        <v>315</v>
      </c>
      <c r="P6" s="402" t="s">
        <v>321</v>
      </c>
      <c r="Q6" s="402" t="s">
        <v>322</v>
      </c>
      <c r="R6" s="402" t="s">
        <v>314</v>
      </c>
      <c r="S6" s="402" t="s">
        <v>315</v>
      </c>
      <c r="T6" s="402" t="s">
        <v>321</v>
      </c>
      <c r="U6" s="402" t="s">
        <v>322</v>
      </c>
      <c r="V6" s="402" t="s">
        <v>314</v>
      </c>
      <c r="W6" s="402" t="s">
        <v>315</v>
      </c>
      <c r="X6" s="402" t="s">
        <v>321</v>
      </c>
      <c r="Y6" s="402" t="s">
        <v>322</v>
      </c>
      <c r="Z6" s="402" t="s">
        <v>314</v>
      </c>
      <c r="AA6" s="402" t="s">
        <v>315</v>
      </c>
      <c r="AB6" s="402" t="s">
        <v>321</v>
      </c>
      <c r="AC6" s="402" t="s">
        <v>322</v>
      </c>
      <c r="AD6" s="402" t="s">
        <v>314</v>
      </c>
      <c r="AE6" s="402" t="s">
        <v>315</v>
      </c>
      <c r="AF6" s="402" t="s">
        <v>321</v>
      </c>
      <c r="AG6" s="402" t="s">
        <v>322</v>
      </c>
    </row>
    <row r="7" spans="1:33" s="401" customFormat="1" x14ac:dyDescent="0.2">
      <c r="A7" s="403">
        <v>1</v>
      </c>
      <c r="B7" s="585" t="s">
        <v>316</v>
      </c>
      <c r="C7" s="586"/>
      <c r="D7" s="586"/>
      <c r="E7" s="587"/>
      <c r="F7" s="585" t="s">
        <v>316</v>
      </c>
      <c r="G7" s="586"/>
      <c r="H7" s="586"/>
      <c r="I7" s="587"/>
      <c r="J7" s="585" t="s">
        <v>316</v>
      </c>
      <c r="K7" s="586"/>
      <c r="L7" s="586"/>
      <c r="M7" s="587"/>
      <c r="N7" s="585" t="s">
        <v>316</v>
      </c>
      <c r="O7" s="586"/>
      <c r="P7" s="586"/>
      <c r="Q7" s="587"/>
      <c r="R7" s="585" t="s">
        <v>316</v>
      </c>
      <c r="S7" s="586"/>
      <c r="T7" s="586"/>
      <c r="U7" s="587"/>
      <c r="V7" s="585" t="s">
        <v>316</v>
      </c>
      <c r="W7" s="586"/>
      <c r="X7" s="586"/>
      <c r="Y7" s="587"/>
      <c r="Z7" s="585" t="s">
        <v>316</v>
      </c>
      <c r="AA7" s="586"/>
      <c r="AB7" s="586"/>
      <c r="AC7" s="587"/>
      <c r="AD7" s="585" t="s">
        <v>316</v>
      </c>
      <c r="AE7" s="586"/>
      <c r="AF7" s="586"/>
      <c r="AG7" s="587"/>
    </row>
    <row r="8" spans="1:33" s="401" customFormat="1" x14ac:dyDescent="0.2">
      <c r="A8" s="413">
        <v>2</v>
      </c>
      <c r="B8" s="405">
        <v>0.4375</v>
      </c>
      <c r="C8" s="414">
        <v>0.80555555555555547</v>
      </c>
      <c r="D8" s="412">
        <v>8</v>
      </c>
      <c r="E8" s="407">
        <f>C8-B8</f>
        <v>0.36805555555555547</v>
      </c>
      <c r="F8" s="409">
        <v>0.4375</v>
      </c>
      <c r="G8" s="415">
        <v>0.80833333333333324</v>
      </c>
      <c r="H8" s="410">
        <v>8</v>
      </c>
      <c r="I8" s="411">
        <f t="shared" ref="I8:I20" si="0">G8-F8</f>
        <v>0.37083333333333324</v>
      </c>
      <c r="J8" s="405">
        <v>0.3576388888888889</v>
      </c>
      <c r="K8" s="405">
        <v>0.80555555555555547</v>
      </c>
      <c r="L8" s="412">
        <v>8</v>
      </c>
      <c r="M8" s="411">
        <f t="shared" ref="M8:M34" si="1">K8-J8</f>
        <v>0.44791666666666657</v>
      </c>
      <c r="N8" s="590" t="s">
        <v>93</v>
      </c>
      <c r="O8" s="591"/>
      <c r="P8" s="591"/>
      <c r="Q8" s="591"/>
      <c r="R8" s="405">
        <v>0.4375</v>
      </c>
      <c r="S8" s="405">
        <v>0.79166666666666663</v>
      </c>
      <c r="T8" s="412">
        <v>8</v>
      </c>
      <c r="U8" s="407">
        <f>S8-R8</f>
        <v>0.35416666666666663</v>
      </c>
      <c r="V8" s="405">
        <v>0.47916666666666669</v>
      </c>
      <c r="W8" s="405">
        <v>0.80208333333333337</v>
      </c>
      <c r="X8" s="412">
        <v>8</v>
      </c>
      <c r="Y8" s="407">
        <f>W8-V8</f>
        <v>0.32291666666666669</v>
      </c>
      <c r="Z8" s="405">
        <v>0.44791666666666669</v>
      </c>
      <c r="AA8" s="405">
        <v>0.79166666666666663</v>
      </c>
      <c r="AB8" s="412">
        <v>8</v>
      </c>
      <c r="AC8" s="407">
        <f>AA8-Z8</f>
        <v>0.34374999999999994</v>
      </c>
      <c r="AD8" s="405">
        <v>0</v>
      </c>
      <c r="AE8" s="405">
        <v>0</v>
      </c>
      <c r="AF8" s="412">
        <v>8</v>
      </c>
      <c r="AG8" s="407">
        <f>AE8-AD8</f>
        <v>0</v>
      </c>
    </row>
    <row r="9" spans="1:33" s="401" customFormat="1" x14ac:dyDescent="0.2">
      <c r="A9" s="413">
        <v>3</v>
      </c>
      <c r="B9" s="405">
        <v>0.41666666666666669</v>
      </c>
      <c r="C9" s="416">
        <v>0.80555555555555547</v>
      </c>
      <c r="D9" s="412">
        <v>8</v>
      </c>
      <c r="E9" s="407">
        <f>C9-B9</f>
        <v>0.38888888888888878</v>
      </c>
      <c r="F9" s="409">
        <v>0.43472222222222223</v>
      </c>
      <c r="G9" s="417">
        <v>0.80902777777777779</v>
      </c>
      <c r="H9" s="410">
        <v>8</v>
      </c>
      <c r="I9" s="411">
        <f t="shared" si="0"/>
        <v>0.37430555555555556</v>
      </c>
      <c r="J9" s="405">
        <v>0.46527777777777773</v>
      </c>
      <c r="K9" s="414">
        <v>0.84375</v>
      </c>
      <c r="L9" s="412">
        <v>8</v>
      </c>
      <c r="M9" s="411">
        <f t="shared" si="1"/>
        <v>0.37847222222222227</v>
      </c>
      <c r="N9" s="590" t="s">
        <v>93</v>
      </c>
      <c r="O9" s="591"/>
      <c r="P9" s="591"/>
      <c r="Q9" s="591"/>
      <c r="R9" s="405">
        <v>0.44097222222222227</v>
      </c>
      <c r="S9" s="405">
        <v>0.77083333333333337</v>
      </c>
      <c r="T9" s="412">
        <v>8</v>
      </c>
      <c r="U9" s="407">
        <f t="shared" ref="U9:U19" si="2">S9-R9</f>
        <v>0.3298611111111111</v>
      </c>
      <c r="V9" s="405">
        <v>0.48541666666666666</v>
      </c>
      <c r="W9" s="414">
        <v>0.84027777777777779</v>
      </c>
      <c r="X9" s="412">
        <v>8</v>
      </c>
      <c r="Y9" s="407">
        <f>W9-V9</f>
        <v>0.35486111111111113</v>
      </c>
      <c r="Z9" s="405">
        <v>0.44791666666666669</v>
      </c>
      <c r="AA9" s="414">
        <v>0.77083333333333337</v>
      </c>
      <c r="AB9" s="412">
        <v>8</v>
      </c>
      <c r="AC9" s="407">
        <f>AA9-Z9</f>
        <v>0.32291666666666669</v>
      </c>
      <c r="AD9" s="405">
        <v>0</v>
      </c>
      <c r="AE9" s="414">
        <v>0</v>
      </c>
      <c r="AF9" s="412">
        <v>8</v>
      </c>
      <c r="AG9" s="407">
        <f>AE9-AD9</f>
        <v>0</v>
      </c>
    </row>
    <row r="10" spans="1:33" s="418" customFormat="1" x14ac:dyDescent="0.2">
      <c r="A10" s="403">
        <v>4</v>
      </c>
      <c r="B10" s="405">
        <v>0.39583333333333331</v>
      </c>
      <c r="C10" s="416">
        <v>0.66666666666666663</v>
      </c>
      <c r="D10" s="412">
        <v>8</v>
      </c>
      <c r="E10" s="407">
        <f t="shared" ref="E10:E18" si="3">C10-B10</f>
        <v>0.27083333333333331</v>
      </c>
      <c r="F10" s="409">
        <v>0.44444444444444442</v>
      </c>
      <c r="G10" s="417">
        <v>0.83472222222222225</v>
      </c>
      <c r="H10" s="410">
        <v>8</v>
      </c>
      <c r="I10" s="411">
        <f t="shared" si="0"/>
        <v>0.39027777777777783</v>
      </c>
      <c r="J10" s="405">
        <v>0.46875</v>
      </c>
      <c r="K10" s="414">
        <v>0.83333333333333337</v>
      </c>
      <c r="L10" s="412">
        <v>8</v>
      </c>
      <c r="M10" s="411">
        <f t="shared" si="1"/>
        <v>0.36458333333333337</v>
      </c>
      <c r="N10" s="590" t="s">
        <v>93</v>
      </c>
      <c r="O10" s="591"/>
      <c r="P10" s="591"/>
      <c r="Q10" s="591"/>
      <c r="R10" s="405">
        <v>0.4513888888888889</v>
      </c>
      <c r="S10" s="405">
        <v>0.79166666666666663</v>
      </c>
      <c r="T10" s="412">
        <v>8</v>
      </c>
      <c r="U10" s="407">
        <f t="shared" si="2"/>
        <v>0.34027777777777773</v>
      </c>
      <c r="V10" s="405">
        <v>0.46875</v>
      </c>
      <c r="W10" s="414">
        <v>0.83333333333333337</v>
      </c>
      <c r="X10" s="412">
        <v>8</v>
      </c>
      <c r="Y10" s="407">
        <f t="shared" ref="Y10:Y20" si="4">W10-V10</f>
        <v>0.36458333333333337</v>
      </c>
      <c r="Z10" s="405">
        <v>0.44097222222222227</v>
      </c>
      <c r="AA10" s="414">
        <v>0.77777777777777779</v>
      </c>
      <c r="AB10" s="412">
        <v>8</v>
      </c>
      <c r="AC10" s="407">
        <f>AA10-Z10</f>
        <v>0.33680555555555552</v>
      </c>
      <c r="AD10" s="405">
        <v>4.1666666666666699E-2</v>
      </c>
      <c r="AE10" s="414">
        <v>4.1666666666666699E-2</v>
      </c>
      <c r="AF10" s="412">
        <v>8</v>
      </c>
      <c r="AG10" s="407">
        <f>AE10-AD10</f>
        <v>0</v>
      </c>
    </row>
    <row r="11" spans="1:33" s="401" customFormat="1" x14ac:dyDescent="0.2">
      <c r="A11" s="403">
        <v>5</v>
      </c>
      <c r="B11" s="404">
        <v>0.4201388888888889</v>
      </c>
      <c r="C11" s="416">
        <v>0.75</v>
      </c>
      <c r="D11" s="412">
        <v>8</v>
      </c>
      <c r="E11" s="407">
        <f t="shared" si="3"/>
        <v>0.3298611111111111</v>
      </c>
      <c r="F11" s="408">
        <v>0.44305555555555554</v>
      </c>
      <c r="G11" s="417">
        <v>0.80902777777777779</v>
      </c>
      <c r="H11" s="420">
        <v>8</v>
      </c>
      <c r="I11" s="421">
        <f t="shared" si="0"/>
        <v>0.36597222222222225</v>
      </c>
      <c r="J11" s="404">
        <v>0.46875</v>
      </c>
      <c r="K11" s="414">
        <v>0.79513888888888884</v>
      </c>
      <c r="L11" s="412">
        <v>8</v>
      </c>
      <c r="M11" s="411">
        <f t="shared" si="1"/>
        <v>0.32638888888888884</v>
      </c>
      <c r="N11" s="404">
        <v>0.42083333333333334</v>
      </c>
      <c r="O11" s="404">
        <v>0.79722222222222217</v>
      </c>
      <c r="P11" s="412">
        <v>8</v>
      </c>
      <c r="Q11" s="407">
        <f t="shared" ref="Q11:Q36" si="5">O11-N11</f>
        <v>0.37638888888888883</v>
      </c>
      <c r="R11" s="404">
        <v>0.45833333333333331</v>
      </c>
      <c r="S11" s="404">
        <v>0.75</v>
      </c>
      <c r="T11" s="403">
        <v>8</v>
      </c>
      <c r="U11" s="407">
        <f t="shared" si="2"/>
        <v>0.29166666666666669</v>
      </c>
      <c r="V11" s="405">
        <v>0.45833333333333331</v>
      </c>
      <c r="W11" s="414">
        <v>0.83680555555555547</v>
      </c>
      <c r="X11" s="412">
        <v>8</v>
      </c>
      <c r="Y11" s="407">
        <f t="shared" si="4"/>
        <v>0.37847222222222215</v>
      </c>
      <c r="Z11" s="404">
        <v>0.44097222222222227</v>
      </c>
      <c r="AA11" s="404">
        <v>0.78472222222222221</v>
      </c>
      <c r="AB11" s="412">
        <v>8</v>
      </c>
      <c r="AC11" s="419">
        <f t="shared" ref="AC11:AC20" si="6">AA11-Z11</f>
        <v>0.34374999999999994</v>
      </c>
      <c r="AD11" s="404">
        <v>0.75</v>
      </c>
      <c r="AE11" s="422">
        <v>0.82291666666666596</v>
      </c>
      <c r="AF11" s="412">
        <v>8</v>
      </c>
      <c r="AG11" s="407">
        <f>AE11-AD11</f>
        <v>7.2916666666665964E-2</v>
      </c>
    </row>
    <row r="12" spans="1:33" s="401" customFormat="1" x14ac:dyDescent="0.2">
      <c r="A12" s="413">
        <v>6</v>
      </c>
      <c r="B12" s="404">
        <v>0.40625</v>
      </c>
      <c r="C12" s="416">
        <v>0.75</v>
      </c>
      <c r="D12" s="406">
        <v>8</v>
      </c>
      <c r="E12" s="419">
        <f t="shared" si="3"/>
        <v>0.34375</v>
      </c>
      <c r="F12" s="409">
        <v>0.43958333333333338</v>
      </c>
      <c r="G12" s="415">
        <v>0.7993055555555556</v>
      </c>
      <c r="H12" s="420">
        <v>8</v>
      </c>
      <c r="I12" s="421">
        <f t="shared" si="0"/>
        <v>0.35972222222222222</v>
      </c>
      <c r="J12" s="405">
        <v>0.47222222222222227</v>
      </c>
      <c r="K12" s="414">
        <v>0.75</v>
      </c>
      <c r="L12" s="406">
        <v>8</v>
      </c>
      <c r="M12" s="411">
        <f t="shared" si="1"/>
        <v>0.27777777777777773</v>
      </c>
      <c r="N12" s="405">
        <v>0.43402777777777773</v>
      </c>
      <c r="O12" s="414">
        <v>0.79999999999999993</v>
      </c>
      <c r="P12" s="406">
        <v>8</v>
      </c>
      <c r="Q12" s="419">
        <f t="shared" si="5"/>
        <v>0.3659722222222222</v>
      </c>
      <c r="R12" s="405">
        <v>0.4375</v>
      </c>
      <c r="S12" s="414">
        <v>0.80208333333333337</v>
      </c>
      <c r="T12" s="403">
        <v>8</v>
      </c>
      <c r="U12" s="407">
        <f t="shared" si="2"/>
        <v>0.36458333333333337</v>
      </c>
      <c r="V12" s="405">
        <v>0.45833333333333331</v>
      </c>
      <c r="W12" s="414">
        <v>0.80208333333333337</v>
      </c>
      <c r="X12" s="412">
        <v>8</v>
      </c>
      <c r="Y12" s="419">
        <f t="shared" si="4"/>
        <v>0.34375000000000006</v>
      </c>
      <c r="Z12" s="405">
        <v>0.49305555555555558</v>
      </c>
      <c r="AA12" s="414">
        <v>0.75</v>
      </c>
      <c r="AB12" s="412">
        <v>8</v>
      </c>
      <c r="AC12" s="419">
        <f t="shared" si="6"/>
        <v>0.25694444444444442</v>
      </c>
      <c r="AD12" s="405">
        <v>0</v>
      </c>
      <c r="AE12" s="422">
        <v>0.86458333333333304</v>
      </c>
      <c r="AF12" s="412">
        <v>8</v>
      </c>
      <c r="AG12" s="407">
        <f t="shared" ref="AG12:AG20" si="7">AE12-AD12</f>
        <v>0.86458333333333304</v>
      </c>
    </row>
    <row r="13" spans="1:33" s="423" customFormat="1" x14ac:dyDescent="0.2">
      <c r="A13" s="403">
        <v>7</v>
      </c>
      <c r="B13" s="404">
        <v>0.45833333333333331</v>
      </c>
      <c r="C13" s="416">
        <v>0.78125</v>
      </c>
      <c r="D13" s="406">
        <v>8</v>
      </c>
      <c r="E13" s="419">
        <f t="shared" si="3"/>
        <v>0.32291666666666669</v>
      </c>
      <c r="F13" s="409">
        <v>0.44444444444444442</v>
      </c>
      <c r="G13" s="415">
        <v>0.78472222222222221</v>
      </c>
      <c r="H13" s="420">
        <v>8</v>
      </c>
      <c r="I13" s="421">
        <f t="shared" si="0"/>
        <v>0.34027777777777779</v>
      </c>
      <c r="J13" s="422">
        <v>0.45694444444444443</v>
      </c>
      <c r="K13" s="422">
        <v>0.75</v>
      </c>
      <c r="L13" s="406">
        <v>8</v>
      </c>
      <c r="M13" s="411">
        <f t="shared" si="1"/>
        <v>0.29305555555555557</v>
      </c>
      <c r="N13" s="422">
        <v>0.4201388888888889</v>
      </c>
      <c r="O13" s="422">
        <v>0.76736111111111116</v>
      </c>
      <c r="P13" s="406">
        <v>8</v>
      </c>
      <c r="Q13" s="419">
        <f t="shared" si="5"/>
        <v>0.34722222222222227</v>
      </c>
      <c r="R13" s="405">
        <v>0.45833333333333331</v>
      </c>
      <c r="S13" s="414">
        <v>0.76736111111111116</v>
      </c>
      <c r="T13" s="403">
        <v>8</v>
      </c>
      <c r="U13" s="407">
        <f t="shared" si="2"/>
        <v>0.30902777777777785</v>
      </c>
      <c r="V13" s="422">
        <v>0.47916666666666669</v>
      </c>
      <c r="W13" s="422">
        <v>0.83333333333333337</v>
      </c>
      <c r="X13" s="412">
        <v>8</v>
      </c>
      <c r="Y13" s="419">
        <f t="shared" si="4"/>
        <v>0.35416666666666669</v>
      </c>
      <c r="Z13" s="422">
        <v>0.44930555555555557</v>
      </c>
      <c r="AA13" s="422">
        <v>0.77083333333333337</v>
      </c>
      <c r="AB13" s="412">
        <v>8</v>
      </c>
      <c r="AC13" s="419">
        <f t="shared" si="6"/>
        <v>0.3215277777777778</v>
      </c>
      <c r="AD13" s="422">
        <v>0.75</v>
      </c>
      <c r="AE13" s="422">
        <v>0.90625</v>
      </c>
      <c r="AF13" s="412">
        <v>8</v>
      </c>
      <c r="AG13" s="407">
        <f t="shared" si="7"/>
        <v>0.15625</v>
      </c>
    </row>
    <row r="14" spans="1:33" s="400" customFormat="1" x14ac:dyDescent="0.2">
      <c r="A14" s="403">
        <v>8</v>
      </c>
      <c r="B14" s="585" t="s">
        <v>316</v>
      </c>
      <c r="C14" s="586"/>
      <c r="D14" s="586"/>
      <c r="E14" s="587"/>
      <c r="F14" s="585" t="s">
        <v>316</v>
      </c>
      <c r="G14" s="586"/>
      <c r="H14" s="586"/>
      <c r="I14" s="587"/>
      <c r="J14" s="585" t="s">
        <v>316</v>
      </c>
      <c r="K14" s="586"/>
      <c r="L14" s="586"/>
      <c r="M14" s="587"/>
      <c r="N14" s="585" t="s">
        <v>316</v>
      </c>
      <c r="O14" s="586"/>
      <c r="P14" s="586"/>
      <c r="Q14" s="587"/>
      <c r="R14" s="585" t="s">
        <v>316</v>
      </c>
      <c r="S14" s="586"/>
      <c r="T14" s="586"/>
      <c r="U14" s="587"/>
      <c r="V14" s="585" t="s">
        <v>316</v>
      </c>
      <c r="W14" s="586"/>
      <c r="X14" s="586"/>
      <c r="Y14" s="587"/>
      <c r="Z14" s="585" t="s">
        <v>316</v>
      </c>
      <c r="AA14" s="586"/>
      <c r="AB14" s="586"/>
      <c r="AC14" s="587"/>
      <c r="AD14" s="585" t="s">
        <v>316</v>
      </c>
      <c r="AE14" s="586"/>
      <c r="AF14" s="586"/>
      <c r="AG14" s="587"/>
    </row>
    <row r="15" spans="1:33" s="401" customFormat="1" x14ac:dyDescent="0.2">
      <c r="A15" s="413">
        <v>9</v>
      </c>
      <c r="B15" s="404">
        <v>0.4201388888888889</v>
      </c>
      <c r="C15" s="414">
        <v>0.77777777777777779</v>
      </c>
      <c r="D15" s="412">
        <v>8</v>
      </c>
      <c r="E15" s="407">
        <f t="shared" si="3"/>
        <v>0.3576388888888889</v>
      </c>
      <c r="F15" s="425">
        <v>0.44861111111111113</v>
      </c>
      <c r="G15" s="428">
        <v>0.7993055555555556</v>
      </c>
      <c r="H15" s="420">
        <v>8</v>
      </c>
      <c r="I15" s="426">
        <f t="shared" si="0"/>
        <v>0.35069444444444448</v>
      </c>
      <c r="J15" s="405">
        <v>0.46527777777777773</v>
      </c>
      <c r="K15" s="414">
        <v>0.7993055555555556</v>
      </c>
      <c r="L15" s="406">
        <v>8</v>
      </c>
      <c r="M15" s="411">
        <f t="shared" si="1"/>
        <v>0.33402777777777787</v>
      </c>
      <c r="N15" s="405">
        <v>0.43124999999999997</v>
      </c>
      <c r="O15" s="414">
        <v>0.79236111111111107</v>
      </c>
      <c r="P15" s="406">
        <v>8</v>
      </c>
      <c r="Q15" s="419">
        <f t="shared" si="5"/>
        <v>0.3611111111111111</v>
      </c>
      <c r="R15" s="405">
        <v>0.44791666666666669</v>
      </c>
      <c r="S15" s="414">
        <v>0.76041666666666663</v>
      </c>
      <c r="T15" s="403">
        <v>8</v>
      </c>
      <c r="U15" s="407">
        <f t="shared" si="2"/>
        <v>0.31249999999999994</v>
      </c>
      <c r="V15" s="590" t="s">
        <v>93</v>
      </c>
      <c r="W15" s="591"/>
      <c r="X15" s="591"/>
      <c r="Y15" s="591"/>
      <c r="Z15" s="405">
        <v>0.4375</v>
      </c>
      <c r="AA15" s="414">
        <v>0.80208333333333337</v>
      </c>
      <c r="AB15" s="412">
        <v>8</v>
      </c>
      <c r="AC15" s="419">
        <f t="shared" si="6"/>
        <v>0.36458333333333337</v>
      </c>
      <c r="AD15" s="405">
        <v>0</v>
      </c>
      <c r="AE15" s="414">
        <v>0</v>
      </c>
      <c r="AF15" s="412">
        <v>8</v>
      </c>
      <c r="AG15" s="407">
        <f t="shared" si="7"/>
        <v>0</v>
      </c>
    </row>
    <row r="16" spans="1:33" s="401" customFormat="1" x14ac:dyDescent="0.2">
      <c r="A16" s="403">
        <v>10</v>
      </c>
      <c r="B16" s="404">
        <v>0.46875</v>
      </c>
      <c r="C16" s="416">
        <v>0.78125</v>
      </c>
      <c r="D16" s="406">
        <v>8</v>
      </c>
      <c r="E16" s="419">
        <f t="shared" si="3"/>
        <v>0.3125</v>
      </c>
      <c r="F16" s="422">
        <v>0.43888888888888888</v>
      </c>
      <c r="G16" s="424">
        <v>0.75</v>
      </c>
      <c r="H16" s="420">
        <v>8</v>
      </c>
      <c r="I16" s="427">
        <f t="shared" si="0"/>
        <v>0.31111111111111112</v>
      </c>
      <c r="J16" s="404">
        <v>0.45833333333333331</v>
      </c>
      <c r="K16" s="404">
        <v>0.79166666666666663</v>
      </c>
      <c r="L16" s="412">
        <v>8</v>
      </c>
      <c r="M16" s="411">
        <f t="shared" si="1"/>
        <v>0.33333333333333331</v>
      </c>
      <c r="N16" s="404">
        <v>0.44097222222222227</v>
      </c>
      <c r="O16" s="416">
        <v>0.79166666666666663</v>
      </c>
      <c r="P16" s="406">
        <v>8</v>
      </c>
      <c r="Q16" s="419">
        <f t="shared" si="5"/>
        <v>0.35069444444444436</v>
      </c>
      <c r="R16" s="405">
        <v>0.4375</v>
      </c>
      <c r="S16" s="414">
        <v>0.75</v>
      </c>
      <c r="T16" s="403">
        <v>8</v>
      </c>
      <c r="U16" s="419">
        <f t="shared" si="2"/>
        <v>0.3125</v>
      </c>
      <c r="V16" s="590" t="s">
        <v>93</v>
      </c>
      <c r="W16" s="591"/>
      <c r="X16" s="591"/>
      <c r="Y16" s="591"/>
      <c r="Z16" s="404">
        <v>0.4465277777777778</v>
      </c>
      <c r="AA16" s="416">
        <v>0.78125</v>
      </c>
      <c r="AB16" s="406">
        <v>8</v>
      </c>
      <c r="AC16" s="407">
        <f t="shared" si="6"/>
        <v>0.3347222222222222</v>
      </c>
      <c r="AD16" s="404">
        <v>0.75</v>
      </c>
      <c r="AE16" s="416">
        <v>0.91666666666666663</v>
      </c>
      <c r="AF16" s="406">
        <v>8</v>
      </c>
      <c r="AG16" s="407">
        <f t="shared" si="7"/>
        <v>0.16666666666666663</v>
      </c>
    </row>
    <row r="17" spans="1:33" s="418" customFormat="1" x14ac:dyDescent="0.2">
      <c r="A17" s="403">
        <v>11</v>
      </c>
      <c r="B17" s="404">
        <v>0.39583333333333331</v>
      </c>
      <c r="C17" s="416">
        <v>0.76736111111111116</v>
      </c>
      <c r="D17" s="406">
        <v>8</v>
      </c>
      <c r="E17" s="419">
        <f t="shared" si="3"/>
        <v>0.37152777777777785</v>
      </c>
      <c r="F17" s="422">
        <v>0.44791666666666669</v>
      </c>
      <c r="G17" s="424">
        <v>0.82986111111111116</v>
      </c>
      <c r="H17" s="420">
        <v>8</v>
      </c>
      <c r="I17" s="427">
        <f t="shared" si="0"/>
        <v>0.38194444444444448</v>
      </c>
      <c r="J17" s="404">
        <v>0.46875</v>
      </c>
      <c r="K17" s="404">
        <v>0.82986111111111116</v>
      </c>
      <c r="L17" s="412">
        <v>8</v>
      </c>
      <c r="M17" s="411">
        <f t="shared" si="1"/>
        <v>0.36111111111111116</v>
      </c>
      <c r="N17" s="404">
        <v>0.43055555555555558</v>
      </c>
      <c r="O17" s="416">
        <v>0.82986111111111116</v>
      </c>
      <c r="P17" s="406">
        <v>8</v>
      </c>
      <c r="Q17" s="419">
        <f t="shared" si="5"/>
        <v>0.39930555555555558</v>
      </c>
      <c r="R17" s="405">
        <v>0.45833333333333331</v>
      </c>
      <c r="S17" s="414">
        <v>0.75</v>
      </c>
      <c r="T17" s="403">
        <v>8</v>
      </c>
      <c r="U17" s="419">
        <f t="shared" si="2"/>
        <v>0.29166666666666669</v>
      </c>
      <c r="V17" s="404">
        <v>0.47916666666666669</v>
      </c>
      <c r="W17" s="416">
        <v>0.78125</v>
      </c>
      <c r="X17" s="406">
        <v>8</v>
      </c>
      <c r="Y17" s="407">
        <f t="shared" si="4"/>
        <v>0.30208333333333331</v>
      </c>
      <c r="Z17" s="590" t="s">
        <v>93</v>
      </c>
      <c r="AA17" s="591"/>
      <c r="AB17" s="591"/>
      <c r="AC17" s="591"/>
      <c r="AD17" s="404">
        <v>0.79166666666666696</v>
      </c>
      <c r="AE17" s="416">
        <v>0.95833333333333304</v>
      </c>
      <c r="AF17" s="406">
        <v>8</v>
      </c>
      <c r="AG17" s="407">
        <f t="shared" si="7"/>
        <v>0.16666666666666607</v>
      </c>
    </row>
    <row r="18" spans="1:33" s="400" customFormat="1" x14ac:dyDescent="0.2">
      <c r="A18" s="403">
        <v>12</v>
      </c>
      <c r="B18" s="405">
        <v>0.40972222222222227</v>
      </c>
      <c r="C18" s="416">
        <v>0.82291666666666663</v>
      </c>
      <c r="D18" s="412">
        <v>8</v>
      </c>
      <c r="E18" s="407">
        <f t="shared" si="3"/>
        <v>0.41319444444444436</v>
      </c>
      <c r="F18" s="422">
        <v>0.43541666666666662</v>
      </c>
      <c r="G18" s="424">
        <v>0.75</v>
      </c>
      <c r="H18" s="420">
        <v>8</v>
      </c>
      <c r="I18" s="427">
        <f t="shared" si="0"/>
        <v>0.31458333333333338</v>
      </c>
      <c r="J18" s="404">
        <v>0.4548611111111111</v>
      </c>
      <c r="K18" s="404">
        <v>0.8041666666666667</v>
      </c>
      <c r="L18" s="406">
        <v>8</v>
      </c>
      <c r="M18" s="411">
        <f t="shared" si="1"/>
        <v>0.34930555555555559</v>
      </c>
      <c r="N18" s="404">
        <v>0.4201388888888889</v>
      </c>
      <c r="O18" s="404">
        <v>0.80555555555555547</v>
      </c>
      <c r="P18" s="406">
        <v>8</v>
      </c>
      <c r="Q18" s="419">
        <f t="shared" si="5"/>
        <v>0.38541666666666657</v>
      </c>
      <c r="R18" s="405">
        <v>0.4375</v>
      </c>
      <c r="S18" s="414">
        <v>0.80555555555555547</v>
      </c>
      <c r="T18" s="403">
        <v>8</v>
      </c>
      <c r="U18" s="419">
        <f t="shared" si="2"/>
        <v>0.36805555555555547</v>
      </c>
      <c r="V18" s="404">
        <v>0.47916666666666669</v>
      </c>
      <c r="W18" s="416">
        <v>0.78125</v>
      </c>
      <c r="X18" s="406">
        <v>8</v>
      </c>
      <c r="Y18" s="407">
        <f t="shared" si="4"/>
        <v>0.30208333333333331</v>
      </c>
      <c r="Z18" s="404">
        <v>0.4375</v>
      </c>
      <c r="AA18" s="404">
        <v>0.75</v>
      </c>
      <c r="AB18" s="406">
        <v>8</v>
      </c>
      <c r="AC18" s="407">
        <f>AA18-Z18</f>
        <v>0.3125</v>
      </c>
      <c r="AD18" s="404">
        <v>0.78125</v>
      </c>
      <c r="AE18" s="404">
        <v>0.95833333333333337</v>
      </c>
      <c r="AF18" s="406">
        <v>8</v>
      </c>
      <c r="AG18" s="419">
        <f t="shared" si="7"/>
        <v>0.17708333333333337</v>
      </c>
    </row>
    <row r="19" spans="1:33" s="401" customFormat="1" x14ac:dyDescent="0.2">
      <c r="A19" s="413">
        <v>13</v>
      </c>
      <c r="B19" s="590" t="s">
        <v>93</v>
      </c>
      <c r="C19" s="591"/>
      <c r="D19" s="591"/>
      <c r="E19" s="591"/>
      <c r="F19" s="422">
        <v>0.4548611111111111</v>
      </c>
      <c r="G19" s="428">
        <v>0.80486111111111114</v>
      </c>
      <c r="H19" s="429">
        <v>8</v>
      </c>
      <c r="I19" s="426">
        <f t="shared" si="0"/>
        <v>0.35000000000000003</v>
      </c>
      <c r="J19" s="405">
        <v>0.46875</v>
      </c>
      <c r="K19" s="414">
        <v>0.80486111111111114</v>
      </c>
      <c r="L19" s="412">
        <v>8</v>
      </c>
      <c r="M19" s="411">
        <f t="shared" si="1"/>
        <v>0.33611111111111114</v>
      </c>
      <c r="N19" s="404">
        <v>0.43124999999999997</v>
      </c>
      <c r="O19" s="414">
        <v>0.78888888888888886</v>
      </c>
      <c r="P19" s="412">
        <v>8</v>
      </c>
      <c r="Q19" s="407">
        <f t="shared" si="5"/>
        <v>0.3576388888888889</v>
      </c>
      <c r="R19" s="405">
        <v>0.42708333333333331</v>
      </c>
      <c r="S19" s="416">
        <v>0.72916666666666663</v>
      </c>
      <c r="T19" s="412">
        <v>8</v>
      </c>
      <c r="U19" s="407">
        <f t="shared" si="2"/>
        <v>0.30208333333333331</v>
      </c>
      <c r="V19" s="405">
        <v>0.49652777777777773</v>
      </c>
      <c r="W19" s="414">
        <v>0.8125</v>
      </c>
      <c r="X19" s="406">
        <v>8</v>
      </c>
      <c r="Y19" s="407">
        <f t="shared" si="4"/>
        <v>0.31597222222222227</v>
      </c>
      <c r="Z19" s="405">
        <v>0.44444444444444442</v>
      </c>
      <c r="AA19" s="414">
        <v>0.78125</v>
      </c>
      <c r="AB19" s="406">
        <v>8</v>
      </c>
      <c r="AC19" s="407">
        <f t="shared" si="6"/>
        <v>0.33680555555555558</v>
      </c>
      <c r="AD19" s="405">
        <v>0.625</v>
      </c>
      <c r="AE19" s="414">
        <v>0.875</v>
      </c>
      <c r="AF19" s="406">
        <v>8</v>
      </c>
      <c r="AG19" s="407">
        <f t="shared" si="7"/>
        <v>0.25</v>
      </c>
    </row>
    <row r="20" spans="1:33" s="430" customFormat="1" x14ac:dyDescent="0.2">
      <c r="A20" s="403">
        <v>14</v>
      </c>
      <c r="B20" s="590" t="s">
        <v>93</v>
      </c>
      <c r="C20" s="591"/>
      <c r="D20" s="591"/>
      <c r="E20" s="591"/>
      <c r="F20" s="425">
        <v>0.47500000000000003</v>
      </c>
      <c r="G20" s="428">
        <v>0.75</v>
      </c>
      <c r="H20" s="429">
        <v>8</v>
      </c>
      <c r="I20" s="426">
        <f t="shared" si="0"/>
        <v>0.27499999999999997</v>
      </c>
      <c r="J20" s="405">
        <v>0.45833333333333331</v>
      </c>
      <c r="K20" s="414">
        <v>0.75</v>
      </c>
      <c r="L20" s="412">
        <v>8</v>
      </c>
      <c r="M20" s="411">
        <f t="shared" si="1"/>
        <v>0.29166666666666669</v>
      </c>
      <c r="N20" s="404">
        <v>0.4201388888888889</v>
      </c>
      <c r="O20" s="414">
        <v>0.79166666666666663</v>
      </c>
      <c r="P20" s="412">
        <v>8</v>
      </c>
      <c r="Q20" s="407">
        <f t="shared" si="5"/>
        <v>0.37152777777777773</v>
      </c>
      <c r="R20" s="590" t="s">
        <v>93</v>
      </c>
      <c r="S20" s="591"/>
      <c r="T20" s="591"/>
      <c r="U20" s="591"/>
      <c r="V20" s="405">
        <v>0.45833333333333331</v>
      </c>
      <c r="W20" s="414">
        <v>0.79166666666666663</v>
      </c>
      <c r="X20" s="406">
        <v>8</v>
      </c>
      <c r="Y20" s="407">
        <f t="shared" si="4"/>
        <v>0.33333333333333331</v>
      </c>
      <c r="Z20" s="405">
        <v>0.44097222222222227</v>
      </c>
      <c r="AA20" s="414">
        <v>0.75</v>
      </c>
      <c r="AB20" s="406">
        <v>8</v>
      </c>
      <c r="AC20" s="407">
        <f t="shared" si="6"/>
        <v>0.30902777777777773</v>
      </c>
      <c r="AD20" s="405">
        <v>0.66666666666666696</v>
      </c>
      <c r="AE20" s="414">
        <v>0.91666666666666696</v>
      </c>
      <c r="AF20" s="406">
        <v>8</v>
      </c>
      <c r="AG20" s="407">
        <f t="shared" si="7"/>
        <v>0.25</v>
      </c>
    </row>
    <row r="21" spans="1:33" s="401" customFormat="1" x14ac:dyDescent="0.2">
      <c r="A21" s="403">
        <v>15</v>
      </c>
      <c r="B21" s="585" t="s">
        <v>316</v>
      </c>
      <c r="C21" s="586"/>
      <c r="D21" s="586"/>
      <c r="E21" s="587"/>
      <c r="F21" s="585" t="s">
        <v>316</v>
      </c>
      <c r="G21" s="586"/>
      <c r="H21" s="586"/>
      <c r="I21" s="587"/>
      <c r="J21" s="585" t="s">
        <v>316</v>
      </c>
      <c r="K21" s="586"/>
      <c r="L21" s="586"/>
      <c r="M21" s="587"/>
      <c r="N21" s="585" t="s">
        <v>316</v>
      </c>
      <c r="O21" s="586"/>
      <c r="P21" s="586"/>
      <c r="Q21" s="587"/>
      <c r="R21" s="585" t="s">
        <v>316</v>
      </c>
      <c r="S21" s="586"/>
      <c r="T21" s="586"/>
      <c r="U21" s="587"/>
      <c r="V21" s="585" t="s">
        <v>316</v>
      </c>
      <c r="W21" s="586"/>
      <c r="X21" s="586"/>
      <c r="Y21" s="587"/>
      <c r="Z21" s="585" t="s">
        <v>316</v>
      </c>
      <c r="AA21" s="586"/>
      <c r="AB21" s="586"/>
      <c r="AC21" s="587"/>
      <c r="AD21" s="585" t="s">
        <v>316</v>
      </c>
      <c r="AE21" s="586"/>
      <c r="AF21" s="586"/>
      <c r="AG21" s="587"/>
    </row>
    <row r="22" spans="1:33" s="400" customFormat="1" x14ac:dyDescent="0.2">
      <c r="A22" s="403">
        <v>16</v>
      </c>
      <c r="B22" s="404">
        <v>0.40625</v>
      </c>
      <c r="C22" s="404">
        <v>0.80208333333333337</v>
      </c>
      <c r="D22" s="406">
        <v>8</v>
      </c>
      <c r="E22" s="419">
        <f>C22-B22</f>
        <v>0.39583333333333337</v>
      </c>
      <c r="F22" s="405">
        <v>0.43402777777777773</v>
      </c>
      <c r="G22" s="414">
        <v>0.77777777777777779</v>
      </c>
      <c r="H22" s="412">
        <v>8</v>
      </c>
      <c r="I22" s="407">
        <f t="shared" ref="I22:I36" si="8">G22-F22</f>
        <v>0.34375000000000006</v>
      </c>
      <c r="J22" s="404">
        <v>0.45833333333333331</v>
      </c>
      <c r="K22" s="404">
        <v>0.78472222222222221</v>
      </c>
      <c r="L22" s="412">
        <v>8</v>
      </c>
      <c r="M22" s="411">
        <f t="shared" si="1"/>
        <v>0.3263888888888889</v>
      </c>
      <c r="N22" s="590" t="s">
        <v>93</v>
      </c>
      <c r="O22" s="591"/>
      <c r="P22" s="591"/>
      <c r="Q22" s="591"/>
      <c r="R22" s="405">
        <v>0.46527777777777773</v>
      </c>
      <c r="S22" s="416">
        <v>0.75</v>
      </c>
      <c r="T22" s="412">
        <v>8</v>
      </c>
      <c r="U22" s="407">
        <f t="shared" ref="U22:U36" si="9">S22-R22</f>
        <v>0.28472222222222227</v>
      </c>
      <c r="V22" s="404">
        <v>0.4513888888888889</v>
      </c>
      <c r="W22" s="404">
        <v>0.78472222222222221</v>
      </c>
      <c r="X22" s="412">
        <v>8</v>
      </c>
      <c r="Y22" s="407">
        <f t="shared" ref="Y22:Y36" si="10">W22-V22</f>
        <v>0.33333333333333331</v>
      </c>
      <c r="Z22" s="590" t="s">
        <v>93</v>
      </c>
      <c r="AA22" s="591"/>
      <c r="AB22" s="591"/>
      <c r="AC22" s="591"/>
      <c r="AD22" s="404">
        <v>0</v>
      </c>
      <c r="AE22" s="404">
        <v>0</v>
      </c>
      <c r="AF22" s="412">
        <v>8</v>
      </c>
      <c r="AG22" s="407">
        <f t="shared" ref="AG22:AG36" si="11">AE22-AD22</f>
        <v>0</v>
      </c>
    </row>
    <row r="23" spans="1:33" s="400" customFormat="1" x14ac:dyDescent="0.2">
      <c r="A23" s="403">
        <v>17</v>
      </c>
      <c r="B23" s="592" t="s">
        <v>332</v>
      </c>
      <c r="C23" s="593"/>
      <c r="D23" s="593"/>
      <c r="E23" s="594"/>
      <c r="F23" s="592" t="s">
        <v>332</v>
      </c>
      <c r="G23" s="593"/>
      <c r="H23" s="593"/>
      <c r="I23" s="594"/>
      <c r="J23" s="592" t="s">
        <v>332</v>
      </c>
      <c r="K23" s="593"/>
      <c r="L23" s="593"/>
      <c r="M23" s="594"/>
      <c r="N23" s="592" t="s">
        <v>332</v>
      </c>
      <c r="O23" s="593"/>
      <c r="P23" s="593"/>
      <c r="Q23" s="594"/>
      <c r="R23" s="592" t="s">
        <v>332</v>
      </c>
      <c r="S23" s="593"/>
      <c r="T23" s="593"/>
      <c r="U23" s="594"/>
      <c r="V23" s="592" t="s">
        <v>332</v>
      </c>
      <c r="W23" s="593"/>
      <c r="X23" s="593"/>
      <c r="Y23" s="594"/>
      <c r="Z23" s="592" t="s">
        <v>332</v>
      </c>
      <c r="AA23" s="593"/>
      <c r="AB23" s="593"/>
      <c r="AC23" s="594"/>
      <c r="AD23" s="592" t="s">
        <v>332</v>
      </c>
      <c r="AE23" s="593"/>
      <c r="AF23" s="593"/>
      <c r="AG23" s="594"/>
    </row>
    <row r="24" spans="1:33" s="418" customFormat="1" x14ac:dyDescent="0.2">
      <c r="A24" s="403">
        <v>18</v>
      </c>
      <c r="B24" s="404">
        <v>0.375</v>
      </c>
      <c r="C24" s="404">
        <v>0.78125</v>
      </c>
      <c r="D24" s="406">
        <v>8</v>
      </c>
      <c r="E24" s="419">
        <f>C24-B24</f>
        <v>0.40625</v>
      </c>
      <c r="F24" s="405">
        <v>0.43263888888888885</v>
      </c>
      <c r="G24" s="414">
        <v>0.79166666666666663</v>
      </c>
      <c r="H24" s="412">
        <v>8</v>
      </c>
      <c r="I24" s="407">
        <f t="shared" si="8"/>
        <v>0.35902777777777778</v>
      </c>
      <c r="J24" s="404">
        <v>0.46527777777777773</v>
      </c>
      <c r="K24" s="404">
        <v>0.77777777777777779</v>
      </c>
      <c r="L24" s="412">
        <v>8</v>
      </c>
      <c r="M24" s="411">
        <f t="shared" si="1"/>
        <v>0.31250000000000006</v>
      </c>
      <c r="N24" s="404">
        <v>0.41736111111111113</v>
      </c>
      <c r="O24" s="404">
        <v>0.70833333333333337</v>
      </c>
      <c r="P24" s="412">
        <v>8</v>
      </c>
      <c r="Q24" s="419">
        <f t="shared" si="5"/>
        <v>0.29097222222222224</v>
      </c>
      <c r="R24" s="590" t="s">
        <v>93</v>
      </c>
      <c r="S24" s="591"/>
      <c r="T24" s="591"/>
      <c r="U24" s="591"/>
      <c r="V24" s="404">
        <v>0.46249999999999997</v>
      </c>
      <c r="W24" s="404">
        <v>0.77777777777777779</v>
      </c>
      <c r="X24" s="412">
        <v>8</v>
      </c>
      <c r="Y24" s="407">
        <f t="shared" si="10"/>
        <v>0.31527777777777782</v>
      </c>
      <c r="Z24" s="590" t="s">
        <v>93</v>
      </c>
      <c r="AA24" s="591"/>
      <c r="AB24" s="591"/>
      <c r="AC24" s="591"/>
      <c r="AD24" s="404">
        <v>4.1666666666666699E-2</v>
      </c>
      <c r="AE24" s="404">
        <v>4.1666666666666699E-2</v>
      </c>
      <c r="AF24" s="412">
        <v>8</v>
      </c>
      <c r="AG24" s="407">
        <f t="shared" si="11"/>
        <v>0</v>
      </c>
    </row>
    <row r="25" spans="1:33" s="400" customFormat="1" x14ac:dyDescent="0.2">
      <c r="A25" s="403">
        <v>19</v>
      </c>
      <c r="B25" s="404">
        <v>0.40625</v>
      </c>
      <c r="C25" s="404">
        <v>0.78125</v>
      </c>
      <c r="D25" s="406">
        <v>8</v>
      </c>
      <c r="E25" s="419">
        <f t="shared" ref="E25:E36" si="12">C25-B25</f>
        <v>0.375</v>
      </c>
      <c r="F25" s="404">
        <v>0.43472222222222223</v>
      </c>
      <c r="G25" s="414">
        <v>0.77430555555555547</v>
      </c>
      <c r="H25" s="412">
        <v>8</v>
      </c>
      <c r="I25" s="407">
        <f t="shared" si="8"/>
        <v>0.33958333333333324</v>
      </c>
      <c r="J25" s="404">
        <v>0.46527777777777773</v>
      </c>
      <c r="K25" s="404">
        <v>0.79861111111111116</v>
      </c>
      <c r="L25" s="412">
        <v>8</v>
      </c>
      <c r="M25" s="411">
        <f t="shared" si="1"/>
        <v>0.33333333333333343</v>
      </c>
      <c r="N25" s="404">
        <v>0.42222222222222222</v>
      </c>
      <c r="O25" s="404">
        <v>0.78819444444444453</v>
      </c>
      <c r="P25" s="412">
        <v>8</v>
      </c>
      <c r="Q25" s="419">
        <f t="shared" si="5"/>
        <v>0.36597222222222231</v>
      </c>
      <c r="R25" s="590" t="s">
        <v>93</v>
      </c>
      <c r="S25" s="591"/>
      <c r="T25" s="591"/>
      <c r="U25" s="591"/>
      <c r="V25" s="404">
        <v>0.46875</v>
      </c>
      <c r="W25" s="404">
        <v>0.79166666666666663</v>
      </c>
      <c r="X25" s="406">
        <v>8</v>
      </c>
      <c r="Y25" s="419">
        <f t="shared" si="10"/>
        <v>0.32291666666666663</v>
      </c>
      <c r="Z25" s="404">
        <v>0.43611111111111112</v>
      </c>
      <c r="AA25" s="404">
        <v>0.77083333333333337</v>
      </c>
      <c r="AB25" s="406">
        <v>8</v>
      </c>
      <c r="AC25" s="419">
        <f t="shared" ref="AC25:AC36" si="13">AA25-Z25</f>
        <v>0.33472222222222225</v>
      </c>
      <c r="AD25" s="404">
        <v>0</v>
      </c>
      <c r="AE25" s="404">
        <v>0</v>
      </c>
      <c r="AF25" s="406">
        <v>8</v>
      </c>
      <c r="AG25" s="419">
        <f t="shared" si="11"/>
        <v>0</v>
      </c>
    </row>
    <row r="26" spans="1:33" s="401" customFormat="1" x14ac:dyDescent="0.2">
      <c r="A26" s="403">
        <v>20</v>
      </c>
      <c r="B26" s="404">
        <v>0.3923611111111111</v>
      </c>
      <c r="C26" s="416">
        <v>0.82638888888888884</v>
      </c>
      <c r="D26" s="406">
        <v>8</v>
      </c>
      <c r="E26" s="419">
        <f t="shared" si="12"/>
        <v>0.43402777777777773</v>
      </c>
      <c r="F26" s="404">
        <v>0.43958333333333338</v>
      </c>
      <c r="G26" s="416">
        <v>0.79166666666666663</v>
      </c>
      <c r="H26" s="406">
        <v>8</v>
      </c>
      <c r="I26" s="419">
        <f t="shared" si="8"/>
        <v>0.35208333333333325</v>
      </c>
      <c r="J26" s="404">
        <v>0.46875</v>
      </c>
      <c r="K26" s="416">
        <v>0.78472222222222221</v>
      </c>
      <c r="L26" s="406">
        <v>8</v>
      </c>
      <c r="M26" s="411">
        <f t="shared" si="1"/>
        <v>0.31597222222222221</v>
      </c>
      <c r="N26" s="404">
        <v>0.44097222222222227</v>
      </c>
      <c r="O26" s="416">
        <v>0.78125</v>
      </c>
      <c r="P26" s="412">
        <v>8</v>
      </c>
      <c r="Q26" s="419">
        <f t="shared" si="5"/>
        <v>0.34027777777777773</v>
      </c>
      <c r="R26" s="404">
        <v>0.44097222222222227</v>
      </c>
      <c r="S26" s="416">
        <v>0.72916666666666663</v>
      </c>
      <c r="T26" s="406">
        <v>8</v>
      </c>
      <c r="U26" s="419">
        <f t="shared" si="9"/>
        <v>0.28819444444444436</v>
      </c>
      <c r="V26" s="404">
        <v>0.48749999999999999</v>
      </c>
      <c r="W26" s="416">
        <v>0.79166666666666663</v>
      </c>
      <c r="X26" s="406">
        <v>8</v>
      </c>
      <c r="Y26" s="419">
        <f t="shared" si="10"/>
        <v>0.30416666666666664</v>
      </c>
      <c r="Z26" s="404">
        <v>0.44097222222222227</v>
      </c>
      <c r="AA26" s="416">
        <v>0.77083333333333337</v>
      </c>
      <c r="AB26" s="406">
        <v>8</v>
      </c>
      <c r="AC26" s="419">
        <f t="shared" si="13"/>
        <v>0.3298611111111111</v>
      </c>
      <c r="AD26" s="404">
        <v>0</v>
      </c>
      <c r="AE26" s="416">
        <v>0</v>
      </c>
      <c r="AF26" s="406">
        <v>8</v>
      </c>
      <c r="AG26" s="419">
        <f t="shared" si="11"/>
        <v>0</v>
      </c>
    </row>
    <row r="27" spans="1:33" s="400" customFormat="1" x14ac:dyDescent="0.2">
      <c r="A27" s="403">
        <v>21</v>
      </c>
      <c r="B27" s="405">
        <v>0.40277777777777773</v>
      </c>
      <c r="C27" s="416">
        <v>0.78125</v>
      </c>
      <c r="D27" s="412">
        <v>8</v>
      </c>
      <c r="E27" s="419">
        <f t="shared" si="12"/>
        <v>0.37847222222222227</v>
      </c>
      <c r="F27" s="404">
        <v>0.43055555555555558</v>
      </c>
      <c r="G27" s="416">
        <v>0.79166666666666663</v>
      </c>
      <c r="H27" s="406">
        <v>8</v>
      </c>
      <c r="I27" s="419">
        <f t="shared" si="8"/>
        <v>0.36111111111111105</v>
      </c>
      <c r="J27" s="404">
        <v>0.4548611111111111</v>
      </c>
      <c r="K27" s="416">
        <v>0.85763888888888884</v>
      </c>
      <c r="L27" s="406">
        <v>8</v>
      </c>
      <c r="M27" s="411">
        <f t="shared" si="1"/>
        <v>0.40277777777777773</v>
      </c>
      <c r="N27" s="404">
        <v>0.43402777777777773</v>
      </c>
      <c r="O27" s="416">
        <v>0.79166666666666663</v>
      </c>
      <c r="P27" s="412">
        <v>8</v>
      </c>
      <c r="Q27" s="419">
        <f t="shared" si="5"/>
        <v>0.3576388888888889</v>
      </c>
      <c r="R27" s="405">
        <v>0.45833333333333331</v>
      </c>
      <c r="S27" s="416">
        <v>0.75694444444444453</v>
      </c>
      <c r="T27" s="406">
        <v>8</v>
      </c>
      <c r="U27" s="407">
        <f t="shared" si="9"/>
        <v>0.29861111111111122</v>
      </c>
      <c r="V27" s="404">
        <v>0.45833333333333331</v>
      </c>
      <c r="W27" s="416">
        <v>0.84027777777777779</v>
      </c>
      <c r="X27" s="406">
        <v>8</v>
      </c>
      <c r="Y27" s="419">
        <f t="shared" si="10"/>
        <v>0.38194444444444448</v>
      </c>
      <c r="Z27" s="404">
        <v>0.4375</v>
      </c>
      <c r="AA27" s="416">
        <v>0.83333333333333337</v>
      </c>
      <c r="AB27" s="406">
        <v>8</v>
      </c>
      <c r="AC27" s="419">
        <f t="shared" si="13"/>
        <v>0.39583333333333337</v>
      </c>
      <c r="AD27" s="404">
        <v>0</v>
      </c>
      <c r="AE27" s="416">
        <v>0</v>
      </c>
      <c r="AF27" s="406">
        <v>8</v>
      </c>
      <c r="AG27" s="419">
        <f t="shared" si="11"/>
        <v>0</v>
      </c>
    </row>
    <row r="28" spans="1:33" s="401" customFormat="1" x14ac:dyDescent="0.2">
      <c r="A28" s="413">
        <v>22</v>
      </c>
      <c r="B28" s="585" t="s">
        <v>316</v>
      </c>
      <c r="C28" s="586"/>
      <c r="D28" s="586"/>
      <c r="E28" s="587"/>
      <c r="F28" s="585" t="s">
        <v>316</v>
      </c>
      <c r="G28" s="586"/>
      <c r="H28" s="586"/>
      <c r="I28" s="587"/>
      <c r="J28" s="585" t="s">
        <v>316</v>
      </c>
      <c r="K28" s="586"/>
      <c r="L28" s="586"/>
      <c r="M28" s="587"/>
      <c r="N28" s="585" t="s">
        <v>316</v>
      </c>
      <c r="O28" s="586"/>
      <c r="P28" s="586"/>
      <c r="Q28" s="587"/>
      <c r="R28" s="585" t="s">
        <v>316</v>
      </c>
      <c r="S28" s="586"/>
      <c r="T28" s="586"/>
      <c r="U28" s="587"/>
      <c r="V28" s="585" t="s">
        <v>316</v>
      </c>
      <c r="W28" s="586"/>
      <c r="X28" s="586"/>
      <c r="Y28" s="587"/>
      <c r="Z28" s="585" t="s">
        <v>316</v>
      </c>
      <c r="AA28" s="586"/>
      <c r="AB28" s="586"/>
      <c r="AC28" s="587"/>
      <c r="AD28" s="585" t="s">
        <v>316</v>
      </c>
      <c r="AE28" s="586"/>
      <c r="AF28" s="586"/>
      <c r="AG28" s="587"/>
    </row>
    <row r="29" spans="1:33" s="401" customFormat="1" x14ac:dyDescent="0.2">
      <c r="A29" s="413">
        <v>23</v>
      </c>
      <c r="B29" s="405">
        <v>0.41319444444444442</v>
      </c>
      <c r="C29" s="414">
        <v>0.8125</v>
      </c>
      <c r="D29" s="412">
        <v>8</v>
      </c>
      <c r="E29" s="419">
        <f t="shared" si="12"/>
        <v>0.39930555555555558</v>
      </c>
      <c r="F29" s="425">
        <v>0.44861111111111113</v>
      </c>
      <c r="G29" s="428">
        <v>0.79305555555555562</v>
      </c>
      <c r="H29" s="406">
        <v>8</v>
      </c>
      <c r="I29" s="407">
        <f t="shared" si="8"/>
        <v>0.3444444444444445</v>
      </c>
      <c r="J29" s="405">
        <v>0.4513888888888889</v>
      </c>
      <c r="K29" s="414">
        <v>0.78472222222222221</v>
      </c>
      <c r="L29" s="406">
        <v>8</v>
      </c>
      <c r="M29" s="411">
        <f t="shared" si="1"/>
        <v>0.33333333333333331</v>
      </c>
      <c r="N29" s="405">
        <v>0.43055555555555558</v>
      </c>
      <c r="O29" s="414">
        <v>0.78125</v>
      </c>
      <c r="P29" s="412">
        <v>8</v>
      </c>
      <c r="Q29" s="419">
        <f t="shared" si="5"/>
        <v>0.35069444444444442</v>
      </c>
      <c r="R29" s="405">
        <v>0.4375</v>
      </c>
      <c r="S29" s="416">
        <v>0.78125</v>
      </c>
      <c r="T29" s="406">
        <v>8</v>
      </c>
      <c r="U29" s="407">
        <f t="shared" si="9"/>
        <v>0.34375</v>
      </c>
      <c r="V29" s="405">
        <v>0.47916666666666669</v>
      </c>
      <c r="W29" s="414">
        <v>0.78472222222222221</v>
      </c>
      <c r="X29" s="406">
        <v>8</v>
      </c>
      <c r="Y29" s="407">
        <f t="shared" si="10"/>
        <v>0.30555555555555552</v>
      </c>
      <c r="Z29" s="405">
        <v>0.43402777777777773</v>
      </c>
      <c r="AA29" s="416">
        <v>0.81944444444444453</v>
      </c>
      <c r="AB29" s="406">
        <v>8</v>
      </c>
      <c r="AC29" s="419">
        <f t="shared" si="13"/>
        <v>0.3854166666666668</v>
      </c>
      <c r="AD29" s="405">
        <v>0</v>
      </c>
      <c r="AE29" s="416">
        <v>0</v>
      </c>
      <c r="AF29" s="406">
        <v>8</v>
      </c>
      <c r="AG29" s="419">
        <f t="shared" si="11"/>
        <v>0</v>
      </c>
    </row>
    <row r="30" spans="1:33" s="401" customFormat="1" x14ac:dyDescent="0.2">
      <c r="A30" s="413">
        <v>24</v>
      </c>
      <c r="B30" s="405">
        <v>0.41666666666666669</v>
      </c>
      <c r="C30" s="414">
        <v>0.81944444444444453</v>
      </c>
      <c r="D30" s="412">
        <v>8</v>
      </c>
      <c r="E30" s="419">
        <f t="shared" si="12"/>
        <v>0.40277777777777785</v>
      </c>
      <c r="F30" s="425">
        <v>0.44722222222222219</v>
      </c>
      <c r="G30" s="428">
        <v>0.78888888888888886</v>
      </c>
      <c r="H30" s="406">
        <v>8</v>
      </c>
      <c r="I30" s="407">
        <f t="shared" si="8"/>
        <v>0.34166666666666667</v>
      </c>
      <c r="J30" s="405">
        <v>0.45833333333333331</v>
      </c>
      <c r="K30" s="414">
        <v>0.78472222222222221</v>
      </c>
      <c r="L30" s="406">
        <v>8</v>
      </c>
      <c r="M30" s="411">
        <f t="shared" si="1"/>
        <v>0.3263888888888889</v>
      </c>
      <c r="N30" s="405">
        <v>0.42638888888888887</v>
      </c>
      <c r="O30" s="414">
        <v>0.83333333333333337</v>
      </c>
      <c r="P30" s="412">
        <v>8</v>
      </c>
      <c r="Q30" s="407">
        <f t="shared" si="5"/>
        <v>0.4069444444444445</v>
      </c>
      <c r="R30" s="405">
        <v>0.42708333333333331</v>
      </c>
      <c r="S30" s="416">
        <v>0.76736111111111116</v>
      </c>
      <c r="T30" s="406">
        <v>8</v>
      </c>
      <c r="U30" s="407">
        <f t="shared" si="9"/>
        <v>0.34027777777777785</v>
      </c>
      <c r="V30" s="405">
        <v>0.45833333333333331</v>
      </c>
      <c r="W30" s="414">
        <v>0.76736111111111116</v>
      </c>
      <c r="X30" s="406">
        <v>8</v>
      </c>
      <c r="Y30" s="407">
        <f t="shared" si="10"/>
        <v>0.30902777777777785</v>
      </c>
      <c r="Z30" s="405">
        <v>0.43402777777777773</v>
      </c>
      <c r="AA30" s="414">
        <v>0.85416666666666663</v>
      </c>
      <c r="AB30" s="412">
        <v>8</v>
      </c>
      <c r="AC30" s="407">
        <f t="shared" si="13"/>
        <v>0.4201388888888889</v>
      </c>
      <c r="AD30" s="405">
        <v>0</v>
      </c>
      <c r="AE30" s="414">
        <v>0</v>
      </c>
      <c r="AF30" s="412">
        <v>8</v>
      </c>
      <c r="AG30" s="407">
        <f t="shared" si="11"/>
        <v>0</v>
      </c>
    </row>
    <row r="31" spans="1:33" s="418" customFormat="1" x14ac:dyDescent="0.2">
      <c r="A31" s="403">
        <v>25</v>
      </c>
      <c r="B31" s="405">
        <v>0.41666666666666669</v>
      </c>
      <c r="C31" s="414">
        <v>0.81944444444444453</v>
      </c>
      <c r="D31" s="412">
        <v>8</v>
      </c>
      <c r="E31" s="419">
        <f t="shared" si="12"/>
        <v>0.40277777777777785</v>
      </c>
      <c r="F31" s="425">
        <v>0.4513888888888889</v>
      </c>
      <c r="G31" s="428">
        <v>0.79791666666666661</v>
      </c>
      <c r="H31" s="406">
        <v>8</v>
      </c>
      <c r="I31" s="407">
        <f t="shared" si="8"/>
        <v>0.34652777777777771</v>
      </c>
      <c r="J31" s="405">
        <v>0.46180555555555558</v>
      </c>
      <c r="K31" s="414">
        <v>0.81597222222222221</v>
      </c>
      <c r="L31" s="406">
        <v>8</v>
      </c>
      <c r="M31" s="411">
        <f t="shared" si="1"/>
        <v>0.35416666666666663</v>
      </c>
      <c r="N31" s="405">
        <v>0.43055555555555558</v>
      </c>
      <c r="O31" s="414">
        <v>0.81041666666666667</v>
      </c>
      <c r="P31" s="412">
        <v>8</v>
      </c>
      <c r="Q31" s="407">
        <f t="shared" si="5"/>
        <v>0.37986111111111109</v>
      </c>
      <c r="R31" s="405">
        <v>0.40972222222222227</v>
      </c>
      <c r="S31" s="416">
        <v>0.76736111111111116</v>
      </c>
      <c r="T31" s="406">
        <v>8</v>
      </c>
      <c r="U31" s="407">
        <f t="shared" si="9"/>
        <v>0.3576388888888889</v>
      </c>
      <c r="V31" s="405">
        <v>0.41666666666666669</v>
      </c>
      <c r="W31" s="414">
        <v>0.81597222222222221</v>
      </c>
      <c r="X31" s="406">
        <v>8</v>
      </c>
      <c r="Y31" s="407">
        <f t="shared" si="10"/>
        <v>0.39930555555555552</v>
      </c>
      <c r="Z31" s="405">
        <v>0.44166666666666665</v>
      </c>
      <c r="AA31" s="414">
        <v>0.79861111111111116</v>
      </c>
      <c r="AB31" s="412">
        <v>8</v>
      </c>
      <c r="AC31" s="407">
        <f t="shared" si="13"/>
        <v>0.35694444444444451</v>
      </c>
      <c r="AD31" s="405">
        <v>4.1666666666666699E-2</v>
      </c>
      <c r="AE31" s="414">
        <v>4.1666666666666699E-2</v>
      </c>
      <c r="AF31" s="412">
        <v>8</v>
      </c>
      <c r="AG31" s="407">
        <f t="shared" si="11"/>
        <v>0</v>
      </c>
    </row>
    <row r="32" spans="1:33" s="401" customFormat="1" x14ac:dyDescent="0.2">
      <c r="A32" s="403">
        <v>26</v>
      </c>
      <c r="B32" s="404">
        <v>0.41666666666666669</v>
      </c>
      <c r="C32" s="404">
        <v>0.75</v>
      </c>
      <c r="D32" s="412">
        <v>8</v>
      </c>
      <c r="E32" s="419">
        <f t="shared" si="12"/>
        <v>0.33333333333333331</v>
      </c>
      <c r="F32" s="422">
        <v>0.45624999999999999</v>
      </c>
      <c r="G32" s="428">
        <v>0.76388888888888884</v>
      </c>
      <c r="H32" s="429">
        <v>8</v>
      </c>
      <c r="I32" s="407">
        <f t="shared" si="8"/>
        <v>0.30763888888888885</v>
      </c>
      <c r="J32" s="404">
        <v>0.46875</v>
      </c>
      <c r="K32" s="404">
        <v>0.77083333333333337</v>
      </c>
      <c r="L32" s="406">
        <v>8</v>
      </c>
      <c r="M32" s="411">
        <f t="shared" si="1"/>
        <v>0.30208333333333337</v>
      </c>
      <c r="N32" s="405">
        <v>0.42430555555555555</v>
      </c>
      <c r="O32" s="404">
        <v>0.83333333333333337</v>
      </c>
      <c r="P32" s="412">
        <v>8</v>
      </c>
      <c r="Q32" s="407">
        <f t="shared" si="5"/>
        <v>0.40902777777777782</v>
      </c>
      <c r="R32" s="405">
        <v>0.41666666666666669</v>
      </c>
      <c r="S32" s="416">
        <v>0.73958333333333337</v>
      </c>
      <c r="T32" s="406">
        <v>8</v>
      </c>
      <c r="U32" s="407">
        <f t="shared" si="9"/>
        <v>0.32291666666666669</v>
      </c>
      <c r="V32" s="404">
        <v>0.4375</v>
      </c>
      <c r="W32" s="404">
        <v>0.8125</v>
      </c>
      <c r="X32" s="412">
        <v>8</v>
      </c>
      <c r="Y32" s="407">
        <f t="shared" si="10"/>
        <v>0.375</v>
      </c>
      <c r="Z32" s="404">
        <v>0.44444444444444442</v>
      </c>
      <c r="AA32" s="404">
        <v>0.81944444444444453</v>
      </c>
      <c r="AB32" s="412">
        <v>8</v>
      </c>
      <c r="AC32" s="407">
        <f t="shared" si="13"/>
        <v>0.37500000000000011</v>
      </c>
      <c r="AD32" s="405">
        <v>8.3333333333333301E-2</v>
      </c>
      <c r="AE32" s="414">
        <v>8.3333333333333301E-2</v>
      </c>
      <c r="AF32" s="412">
        <v>8</v>
      </c>
      <c r="AG32" s="407">
        <f t="shared" si="11"/>
        <v>0</v>
      </c>
    </row>
    <row r="33" spans="1:33" s="400" customFormat="1" x14ac:dyDescent="0.2">
      <c r="A33" s="403">
        <v>27</v>
      </c>
      <c r="B33" s="405">
        <v>0.4201388888888889</v>
      </c>
      <c r="C33" s="416">
        <v>0.75</v>
      </c>
      <c r="D33" s="412">
        <v>8</v>
      </c>
      <c r="E33" s="419">
        <f t="shared" si="12"/>
        <v>0.3298611111111111</v>
      </c>
      <c r="F33" s="422">
        <v>0.45833333333333331</v>
      </c>
      <c r="G33" s="424">
        <v>0.75</v>
      </c>
      <c r="H33" s="429">
        <v>8</v>
      </c>
      <c r="I33" s="419">
        <f t="shared" si="8"/>
        <v>0.29166666666666669</v>
      </c>
      <c r="J33" s="404">
        <v>0.46527777777777773</v>
      </c>
      <c r="K33" s="416">
        <v>0.72916666666666663</v>
      </c>
      <c r="L33" s="406">
        <v>8</v>
      </c>
      <c r="M33" s="411">
        <f t="shared" si="1"/>
        <v>0.2638888888888889</v>
      </c>
      <c r="N33" s="404">
        <v>0.43055555555555558</v>
      </c>
      <c r="O33" s="416">
        <v>0.80208333333333337</v>
      </c>
      <c r="P33" s="412">
        <v>8</v>
      </c>
      <c r="Q33" s="407">
        <f t="shared" si="5"/>
        <v>0.37152777777777779</v>
      </c>
      <c r="R33" s="405">
        <v>0.43055555555555558</v>
      </c>
      <c r="S33" s="416">
        <v>0.78125</v>
      </c>
      <c r="T33" s="406">
        <v>8</v>
      </c>
      <c r="U33" s="407">
        <f t="shared" si="9"/>
        <v>0.35069444444444442</v>
      </c>
      <c r="V33" s="404">
        <v>0.46527777777777773</v>
      </c>
      <c r="W33" s="404">
        <v>0.8027777777777777</v>
      </c>
      <c r="X33" s="412">
        <v>8</v>
      </c>
      <c r="Y33" s="407">
        <f t="shared" si="10"/>
        <v>0.33749999999999997</v>
      </c>
      <c r="Z33" s="404">
        <v>0.44791666666666669</v>
      </c>
      <c r="AA33" s="404">
        <v>0.75</v>
      </c>
      <c r="AB33" s="412">
        <v>8</v>
      </c>
      <c r="AC33" s="407">
        <f t="shared" si="13"/>
        <v>0.30208333333333331</v>
      </c>
      <c r="AD33" s="404">
        <v>0</v>
      </c>
      <c r="AE33" s="404">
        <v>0</v>
      </c>
      <c r="AF33" s="412">
        <v>8</v>
      </c>
      <c r="AG33" s="407">
        <f t="shared" si="11"/>
        <v>0</v>
      </c>
    </row>
    <row r="34" spans="1:33" s="400" customFormat="1" x14ac:dyDescent="0.2">
      <c r="A34" s="403">
        <v>28</v>
      </c>
      <c r="B34" s="405">
        <v>0.4201388888888889</v>
      </c>
      <c r="C34" s="416">
        <v>0.82291666666666663</v>
      </c>
      <c r="D34" s="412">
        <v>8</v>
      </c>
      <c r="E34" s="419">
        <f t="shared" si="12"/>
        <v>0.40277777777777773</v>
      </c>
      <c r="F34" s="422">
        <v>0.45833333333333331</v>
      </c>
      <c r="G34" s="424">
        <v>0.75</v>
      </c>
      <c r="H34" s="429">
        <v>8</v>
      </c>
      <c r="I34" s="419">
        <f t="shared" si="8"/>
        <v>0.29166666666666669</v>
      </c>
      <c r="J34" s="404">
        <v>0.35069444444444442</v>
      </c>
      <c r="K34" s="416">
        <v>0.66666666666666663</v>
      </c>
      <c r="L34" s="406">
        <v>8</v>
      </c>
      <c r="M34" s="411">
        <f t="shared" si="1"/>
        <v>0.31597222222222221</v>
      </c>
      <c r="N34" s="404">
        <v>0.42708333333333331</v>
      </c>
      <c r="O34" s="404">
        <v>0.81597222222222221</v>
      </c>
      <c r="P34" s="412">
        <v>8</v>
      </c>
      <c r="Q34" s="419">
        <f t="shared" si="5"/>
        <v>0.3888888888888889</v>
      </c>
      <c r="R34" s="405">
        <v>0.44097222222222227</v>
      </c>
      <c r="S34" s="416">
        <v>0.77777777777777779</v>
      </c>
      <c r="T34" s="406">
        <v>8</v>
      </c>
      <c r="U34" s="407">
        <f t="shared" si="9"/>
        <v>0.33680555555555552</v>
      </c>
      <c r="V34" s="404">
        <v>0.45833333333333331</v>
      </c>
      <c r="W34" s="404">
        <v>0.8125</v>
      </c>
      <c r="X34" s="412">
        <v>8</v>
      </c>
      <c r="Y34" s="407">
        <v>0</v>
      </c>
      <c r="Z34" s="404">
        <v>0.43402777777777773</v>
      </c>
      <c r="AA34" s="404">
        <v>0.75</v>
      </c>
      <c r="AB34" s="412">
        <v>8</v>
      </c>
      <c r="AC34" s="407">
        <f t="shared" si="13"/>
        <v>0.31597222222222227</v>
      </c>
      <c r="AD34" s="404">
        <v>0</v>
      </c>
      <c r="AE34" s="404">
        <v>0</v>
      </c>
      <c r="AF34" s="412">
        <v>8</v>
      </c>
      <c r="AG34" s="407">
        <f t="shared" si="11"/>
        <v>0</v>
      </c>
    </row>
    <row r="35" spans="1:33" s="401" customFormat="1" x14ac:dyDescent="0.2">
      <c r="A35" s="413">
        <v>29</v>
      </c>
      <c r="B35" s="585" t="s">
        <v>316</v>
      </c>
      <c r="C35" s="586"/>
      <c r="D35" s="586"/>
      <c r="E35" s="587"/>
      <c r="F35" s="585" t="s">
        <v>316</v>
      </c>
      <c r="G35" s="586"/>
      <c r="H35" s="586"/>
      <c r="I35" s="587"/>
      <c r="J35" s="585" t="s">
        <v>316</v>
      </c>
      <c r="K35" s="586"/>
      <c r="L35" s="586"/>
      <c r="M35" s="587"/>
      <c r="N35" s="405">
        <v>0.46527777777777773</v>
      </c>
      <c r="O35" s="416">
        <v>0.85416666666666663</v>
      </c>
      <c r="P35" s="406">
        <v>0</v>
      </c>
      <c r="Q35" s="407">
        <f t="shared" si="5"/>
        <v>0.3888888888888889</v>
      </c>
      <c r="R35" s="585" t="s">
        <v>316</v>
      </c>
      <c r="S35" s="586"/>
      <c r="T35" s="586"/>
      <c r="U35" s="587"/>
      <c r="V35" s="585" t="s">
        <v>316</v>
      </c>
      <c r="W35" s="586"/>
      <c r="X35" s="586"/>
      <c r="Y35" s="587"/>
      <c r="Z35" s="585" t="s">
        <v>316</v>
      </c>
      <c r="AA35" s="586"/>
      <c r="AB35" s="586"/>
      <c r="AC35" s="587"/>
      <c r="AD35" s="585" t="s">
        <v>316</v>
      </c>
      <c r="AE35" s="586"/>
      <c r="AF35" s="586"/>
      <c r="AG35" s="587"/>
    </row>
    <row r="36" spans="1:33" s="401" customFormat="1" x14ac:dyDescent="0.2">
      <c r="A36" s="413">
        <v>30</v>
      </c>
      <c r="B36" s="405">
        <v>0.3888888888888889</v>
      </c>
      <c r="C36" s="414">
        <v>0.75</v>
      </c>
      <c r="D36" s="412">
        <v>8</v>
      </c>
      <c r="E36" s="419">
        <f t="shared" si="12"/>
        <v>0.3611111111111111</v>
      </c>
      <c r="F36" s="422">
        <v>0.43958333333333338</v>
      </c>
      <c r="G36" s="414">
        <v>0.54861111111111105</v>
      </c>
      <c r="H36" s="429">
        <v>8</v>
      </c>
      <c r="I36" s="407">
        <f t="shared" si="8"/>
        <v>0.10902777777777767</v>
      </c>
      <c r="J36" s="405">
        <v>0.45833333333333331</v>
      </c>
      <c r="K36" s="414">
        <v>0.78055555555555556</v>
      </c>
      <c r="L36" s="406">
        <v>8</v>
      </c>
      <c r="M36" s="419">
        <f t="shared" ref="M36" si="14">K36-J36</f>
        <v>0.32222222222222224</v>
      </c>
      <c r="N36" s="405">
        <v>0.4236111111111111</v>
      </c>
      <c r="O36" s="414">
        <v>0.78055555555555556</v>
      </c>
      <c r="P36" s="412">
        <v>8</v>
      </c>
      <c r="Q36" s="407">
        <f t="shared" si="5"/>
        <v>0.35694444444444445</v>
      </c>
      <c r="R36" s="405">
        <v>0.43055555555555558</v>
      </c>
      <c r="S36" s="416">
        <v>0.75</v>
      </c>
      <c r="T36" s="406">
        <v>8</v>
      </c>
      <c r="U36" s="407">
        <f t="shared" si="9"/>
        <v>0.31944444444444442</v>
      </c>
      <c r="V36" s="405">
        <v>0.45833333333333331</v>
      </c>
      <c r="W36" s="414">
        <v>0.78055555555555556</v>
      </c>
      <c r="X36" s="412">
        <v>8</v>
      </c>
      <c r="Y36" s="407">
        <f t="shared" si="10"/>
        <v>0.32222222222222224</v>
      </c>
      <c r="Z36" s="405">
        <v>0.44444444444444442</v>
      </c>
      <c r="AA36" s="414">
        <v>0.80555555555555547</v>
      </c>
      <c r="AB36" s="412">
        <v>8</v>
      </c>
      <c r="AC36" s="407">
        <f t="shared" si="13"/>
        <v>0.36111111111111105</v>
      </c>
      <c r="AD36" s="405">
        <v>0</v>
      </c>
      <c r="AE36" s="414">
        <v>0</v>
      </c>
      <c r="AF36" s="412">
        <v>8</v>
      </c>
      <c r="AG36" s="407">
        <f t="shared" si="11"/>
        <v>0</v>
      </c>
    </row>
    <row r="37" spans="1:33" s="401" customFormat="1" ht="15.75" x14ac:dyDescent="0.2">
      <c r="A37" s="413"/>
      <c r="B37" s="431"/>
      <c r="C37" s="431"/>
      <c r="D37" s="432">
        <v>176</v>
      </c>
      <c r="E37" s="433">
        <f>SUM(E7:E36)</f>
        <v>8.1006944444444429</v>
      </c>
      <c r="F37" s="431"/>
      <c r="G37" s="431"/>
      <c r="H37" s="432">
        <f>SUM(H7:H36)</f>
        <v>192</v>
      </c>
      <c r="I37" s="433">
        <f>SUM(I7:I36)</f>
        <v>7.9729166666666655</v>
      </c>
      <c r="J37" s="413"/>
      <c r="K37" s="413"/>
      <c r="L37" s="434">
        <f>SUM(L7:L36)</f>
        <v>192</v>
      </c>
      <c r="M37" s="433">
        <f>SUM(M7:M36)</f>
        <v>8.00277777777778</v>
      </c>
      <c r="N37" s="413"/>
      <c r="O37" s="413"/>
      <c r="P37" s="434">
        <f>SUM(P7:P36)</f>
        <v>160</v>
      </c>
      <c r="Q37" s="433">
        <f>SUM(Q7:Q36)</f>
        <v>7.7229166666666682</v>
      </c>
      <c r="R37" s="413"/>
      <c r="S37" s="413"/>
      <c r="T37" s="434">
        <f>SUM(T7:T36)</f>
        <v>168</v>
      </c>
      <c r="U37" s="433">
        <f>SUM(U7:U36)</f>
        <v>6.8194444444444455</v>
      </c>
      <c r="V37" s="413"/>
      <c r="W37" s="413"/>
      <c r="X37" s="434">
        <f>SUM(X7:X36)</f>
        <v>176</v>
      </c>
      <c r="Y37" s="433">
        <f>SUM(Y7:Y36)</f>
        <v>7.0784722222222225</v>
      </c>
      <c r="Z37" s="413"/>
      <c r="AA37" s="413"/>
      <c r="AB37" s="434">
        <f>SUM(AB7:AB36)</f>
        <v>168</v>
      </c>
      <c r="AC37" s="433">
        <f>SUM(AC7:AC36)</f>
        <v>7.1604166666666655</v>
      </c>
      <c r="AD37" s="413"/>
      <c r="AE37" s="413"/>
      <c r="AF37" s="434">
        <f>SUM(AF7:AF36)</f>
        <v>192</v>
      </c>
      <c r="AG37" s="433">
        <f>SUM(AG7:AG36)</f>
        <v>2.1041666666666652</v>
      </c>
    </row>
    <row r="38" spans="1:33" s="401" customFormat="1" ht="15.75" x14ac:dyDescent="0.2">
      <c r="A38" s="435"/>
      <c r="B38" s="486" t="s">
        <v>317</v>
      </c>
      <c r="C38" s="589">
        <v>25</v>
      </c>
      <c r="D38" s="589"/>
      <c r="E38" s="436"/>
      <c r="F38" s="486" t="s">
        <v>317</v>
      </c>
      <c r="G38" s="589">
        <v>25</v>
      </c>
      <c r="H38" s="589"/>
      <c r="I38" s="435"/>
      <c r="J38" s="486" t="s">
        <v>317</v>
      </c>
      <c r="K38" s="486">
        <v>25</v>
      </c>
      <c r="L38" s="437"/>
      <c r="M38" s="435"/>
      <c r="N38" s="486" t="s">
        <v>317</v>
      </c>
      <c r="O38" s="486">
        <v>25</v>
      </c>
      <c r="P38" s="438"/>
      <c r="Q38" s="435"/>
      <c r="R38" s="486" t="s">
        <v>317</v>
      </c>
      <c r="S38" s="486">
        <v>25</v>
      </c>
      <c r="T38" s="437"/>
      <c r="U38" s="435"/>
      <c r="V38" s="486" t="s">
        <v>317</v>
      </c>
      <c r="W38" s="486">
        <v>25</v>
      </c>
      <c r="X38" s="438"/>
      <c r="Y38" s="435"/>
      <c r="Z38" s="486" t="s">
        <v>317</v>
      </c>
      <c r="AA38" s="486">
        <v>25</v>
      </c>
      <c r="AB38" s="438"/>
      <c r="AC38" s="435"/>
      <c r="AD38" s="486" t="s">
        <v>317</v>
      </c>
      <c r="AE38" s="486">
        <v>25</v>
      </c>
      <c r="AF38" s="438"/>
      <c r="AG38" s="435"/>
    </row>
    <row r="39" spans="1:33" s="401" customFormat="1" ht="15.75" x14ac:dyDescent="0.2">
      <c r="A39" s="435"/>
      <c r="B39" s="486" t="s">
        <v>318</v>
      </c>
      <c r="C39" s="589">
        <v>23</v>
      </c>
      <c r="D39" s="589"/>
      <c r="E39" s="436"/>
      <c r="F39" s="486" t="s">
        <v>318</v>
      </c>
      <c r="G39" s="589">
        <v>25</v>
      </c>
      <c r="H39" s="589"/>
      <c r="I39" s="435"/>
      <c r="J39" s="486" t="s">
        <v>318</v>
      </c>
      <c r="K39" s="486">
        <v>25</v>
      </c>
      <c r="L39" s="438"/>
      <c r="M39" s="435"/>
      <c r="N39" s="486" t="s">
        <v>318</v>
      </c>
      <c r="O39" s="486">
        <v>21</v>
      </c>
      <c r="P39" s="438"/>
      <c r="Q39" s="435"/>
      <c r="R39" s="486" t="s">
        <v>318</v>
      </c>
      <c r="S39" s="486">
        <v>22</v>
      </c>
      <c r="T39" s="438"/>
      <c r="U39" s="435"/>
      <c r="V39" s="486" t="s">
        <v>318</v>
      </c>
      <c r="W39" s="486">
        <v>23</v>
      </c>
      <c r="X39" s="438"/>
      <c r="Y39" s="435"/>
      <c r="Z39" s="486" t="s">
        <v>318</v>
      </c>
      <c r="AA39" s="486">
        <v>22</v>
      </c>
      <c r="AB39" s="438"/>
      <c r="AC39" s="435"/>
      <c r="AD39" s="486" t="s">
        <v>318</v>
      </c>
      <c r="AE39" s="486">
        <v>23</v>
      </c>
      <c r="AF39" s="438"/>
      <c r="AG39" s="435"/>
    </row>
    <row r="40" spans="1:33" s="401" customFormat="1" ht="15.75" x14ac:dyDescent="0.2">
      <c r="A40" s="435"/>
      <c r="B40" s="486" t="s">
        <v>93</v>
      </c>
      <c r="C40" s="589">
        <f>C38-C39</f>
        <v>2</v>
      </c>
      <c r="D40" s="589"/>
      <c r="E40" s="436"/>
      <c r="F40" s="486" t="s">
        <v>93</v>
      </c>
      <c r="G40" s="589">
        <f>G38-G39</f>
        <v>0</v>
      </c>
      <c r="H40" s="589"/>
      <c r="I40" s="435"/>
      <c r="J40" s="486" t="s">
        <v>93</v>
      </c>
      <c r="K40" s="486">
        <f>K38-K39</f>
        <v>0</v>
      </c>
      <c r="L40" s="438"/>
      <c r="M40" s="435"/>
      <c r="N40" s="486" t="s">
        <v>93</v>
      </c>
      <c r="O40" s="486">
        <f>O38-O39</f>
        <v>4</v>
      </c>
      <c r="P40" s="438"/>
      <c r="Q40" s="435"/>
      <c r="R40" s="486" t="s">
        <v>93</v>
      </c>
      <c r="S40" s="486">
        <f>S38-S39</f>
        <v>3</v>
      </c>
      <c r="T40" s="438"/>
      <c r="U40" s="435"/>
      <c r="V40" s="486" t="s">
        <v>93</v>
      </c>
      <c r="W40" s="486">
        <f>W38-W39</f>
        <v>2</v>
      </c>
      <c r="X40" s="438"/>
      <c r="Y40" s="435"/>
      <c r="Z40" s="486" t="s">
        <v>93</v>
      </c>
      <c r="AA40" s="486">
        <f>AA38-AA39</f>
        <v>3</v>
      </c>
      <c r="AB40" s="438"/>
      <c r="AC40" s="435"/>
      <c r="AD40" s="486" t="s">
        <v>93</v>
      </c>
      <c r="AE40" s="486">
        <f>AE38-AE39</f>
        <v>2</v>
      </c>
      <c r="AF40" s="438"/>
      <c r="AG40" s="435"/>
    </row>
    <row r="41" spans="1:33" s="401" customFormat="1" ht="15.75" x14ac:dyDescent="0.2">
      <c r="A41" s="435"/>
      <c r="B41" s="486" t="s">
        <v>324</v>
      </c>
      <c r="C41" s="588">
        <f>D37</f>
        <v>176</v>
      </c>
      <c r="D41" s="588"/>
      <c r="E41" s="436"/>
      <c r="F41" s="486" t="s">
        <v>324</v>
      </c>
      <c r="G41" s="588">
        <v>192</v>
      </c>
      <c r="H41" s="588"/>
      <c r="I41" s="435"/>
      <c r="J41" s="486" t="s">
        <v>324</v>
      </c>
      <c r="K41" s="487">
        <f>L37</f>
        <v>192</v>
      </c>
      <c r="L41" s="435"/>
      <c r="M41" s="435"/>
      <c r="N41" s="486" t="s">
        <v>324</v>
      </c>
      <c r="O41" s="487">
        <f>P37</f>
        <v>160</v>
      </c>
      <c r="P41" s="435"/>
      <c r="Q41" s="435"/>
      <c r="R41" s="486" t="s">
        <v>324</v>
      </c>
      <c r="S41" s="487">
        <f>T37</f>
        <v>168</v>
      </c>
      <c r="T41" s="435"/>
      <c r="U41" s="435"/>
      <c r="V41" s="486" t="s">
        <v>324</v>
      </c>
      <c r="W41" s="487">
        <f>X37</f>
        <v>176</v>
      </c>
      <c r="X41" s="435"/>
      <c r="Y41" s="435"/>
      <c r="Z41" s="486" t="s">
        <v>324</v>
      </c>
      <c r="AA41" s="487">
        <f>AB37</f>
        <v>168</v>
      </c>
      <c r="AB41" s="435"/>
      <c r="AC41" s="435"/>
      <c r="AD41" s="486" t="s">
        <v>324</v>
      </c>
      <c r="AE41" s="487">
        <f>AF37</f>
        <v>192</v>
      </c>
      <c r="AF41" s="435"/>
      <c r="AG41" s="435"/>
    </row>
    <row r="42" spans="1:33" s="401" customFormat="1" ht="15.75" x14ac:dyDescent="0.2">
      <c r="A42" s="435"/>
      <c r="B42" s="486" t="s">
        <v>322</v>
      </c>
      <c r="C42" s="588">
        <v>194.25</v>
      </c>
      <c r="D42" s="588"/>
      <c r="E42" s="436"/>
      <c r="F42" s="486" t="s">
        <v>322</v>
      </c>
      <c r="G42" s="588">
        <v>191.21</v>
      </c>
      <c r="H42" s="588"/>
      <c r="I42" s="435"/>
      <c r="J42" s="486" t="s">
        <v>322</v>
      </c>
      <c r="K42" s="487">
        <v>192.04</v>
      </c>
      <c r="L42" s="435"/>
      <c r="M42" s="435"/>
      <c r="N42" s="486" t="s">
        <v>322</v>
      </c>
      <c r="O42" s="487">
        <v>185.21</v>
      </c>
      <c r="P42" s="435"/>
      <c r="Q42" s="435"/>
      <c r="R42" s="486" t="s">
        <v>322</v>
      </c>
      <c r="S42" s="487">
        <v>163.4</v>
      </c>
      <c r="T42" s="435"/>
      <c r="U42" s="435"/>
      <c r="V42" s="486" t="s">
        <v>322</v>
      </c>
      <c r="W42" s="487">
        <v>169.33</v>
      </c>
      <c r="X42" s="435"/>
      <c r="Y42" s="435"/>
      <c r="Z42" s="486" t="s">
        <v>322</v>
      </c>
      <c r="AA42" s="487">
        <v>171.51</v>
      </c>
      <c r="AB42" s="435"/>
      <c r="AC42" s="435"/>
      <c r="AD42" s="486" t="s">
        <v>322</v>
      </c>
      <c r="AE42" s="487">
        <v>189</v>
      </c>
      <c r="AF42" s="435"/>
      <c r="AG42" s="435"/>
    </row>
    <row r="43" spans="1:33" s="401" customFormat="1" ht="15.75" x14ac:dyDescent="0.2">
      <c r="A43" s="435"/>
      <c r="B43" s="486" t="s">
        <v>323</v>
      </c>
      <c r="C43" s="588">
        <f>C42-C41</f>
        <v>18.25</v>
      </c>
      <c r="D43" s="588"/>
      <c r="E43" s="439"/>
      <c r="F43" s="486" t="s">
        <v>323</v>
      </c>
      <c r="G43" s="588">
        <f>G42-G41</f>
        <v>-0.78999999999999204</v>
      </c>
      <c r="H43" s="588"/>
      <c r="I43" s="440"/>
      <c r="J43" s="486" t="s">
        <v>323</v>
      </c>
      <c r="K43" s="488">
        <f>K42-K41</f>
        <v>3.9999999999992042E-2</v>
      </c>
      <c r="L43" s="440"/>
      <c r="M43" s="440"/>
      <c r="N43" s="486" t="s">
        <v>323</v>
      </c>
      <c r="O43" s="488">
        <f>O42-O41</f>
        <v>25.210000000000008</v>
      </c>
      <c r="P43" s="440"/>
      <c r="Q43" s="440"/>
      <c r="R43" s="486" t="s">
        <v>323</v>
      </c>
      <c r="S43" s="488">
        <f>S42-S41</f>
        <v>-4.5999999999999943</v>
      </c>
      <c r="T43" s="440"/>
      <c r="U43" s="440"/>
      <c r="V43" s="486" t="s">
        <v>323</v>
      </c>
      <c r="W43" s="488">
        <f>W42-W41</f>
        <v>-6.6699999999999875</v>
      </c>
      <c r="X43" s="440"/>
      <c r="Y43" s="440"/>
      <c r="Z43" s="486" t="s">
        <v>323</v>
      </c>
      <c r="AA43" s="488">
        <f>AA42-AA41</f>
        <v>3.5099999999999909</v>
      </c>
      <c r="AB43" s="440"/>
      <c r="AC43" s="440"/>
      <c r="AD43" s="486" t="s">
        <v>323</v>
      </c>
      <c r="AE43" s="488">
        <f>AE42-AE41</f>
        <v>-3</v>
      </c>
      <c r="AF43" s="440"/>
      <c r="AG43" s="440"/>
    </row>
  </sheetData>
  <mergeCells count="83">
    <mergeCell ref="AD35:AG35"/>
    <mergeCell ref="C38:D38"/>
    <mergeCell ref="G38:H38"/>
    <mergeCell ref="AD28:AG28"/>
    <mergeCell ref="B23:E23"/>
    <mergeCell ref="F23:I23"/>
    <mergeCell ref="J23:M23"/>
    <mergeCell ref="N23:Q23"/>
    <mergeCell ref="J28:M28"/>
    <mergeCell ref="N28:Q28"/>
    <mergeCell ref="R28:U28"/>
    <mergeCell ref="V28:Y28"/>
    <mergeCell ref="Z28:AC28"/>
    <mergeCell ref="Z24:AC24"/>
    <mergeCell ref="B28:E28"/>
    <mergeCell ref="F28:I28"/>
    <mergeCell ref="V23:Y23"/>
    <mergeCell ref="Z23:AC23"/>
    <mergeCell ref="AD23:AG23"/>
    <mergeCell ref="V21:Y21"/>
    <mergeCell ref="Z21:AC21"/>
    <mergeCell ref="Z17:AC17"/>
    <mergeCell ref="V14:Y14"/>
    <mergeCell ref="AD21:AG21"/>
    <mergeCell ref="N22:Q22"/>
    <mergeCell ref="Z22:AC22"/>
    <mergeCell ref="V16:Y16"/>
    <mergeCell ref="AD14:AG14"/>
    <mergeCell ref="V15:Y15"/>
    <mergeCell ref="Z14:AC14"/>
    <mergeCell ref="N5:Q5"/>
    <mergeCell ref="R5:U5"/>
    <mergeCell ref="N8:Q8"/>
    <mergeCell ref="N9:Q9"/>
    <mergeCell ref="B5:E5"/>
    <mergeCell ref="F5:I5"/>
    <mergeCell ref="J5:M5"/>
    <mergeCell ref="R25:U25"/>
    <mergeCell ref="B21:E21"/>
    <mergeCell ref="F21:I21"/>
    <mergeCell ref="A1:AG4"/>
    <mergeCell ref="A5:A6"/>
    <mergeCell ref="B7:E7"/>
    <mergeCell ref="F7:I7"/>
    <mergeCell ref="J7:M7"/>
    <mergeCell ref="N7:Q7"/>
    <mergeCell ref="R7:U7"/>
    <mergeCell ref="V7:Y7"/>
    <mergeCell ref="Z7:AC7"/>
    <mergeCell ref="AD7:AG7"/>
    <mergeCell ref="V5:Y5"/>
    <mergeCell ref="Z5:AC5"/>
    <mergeCell ref="AD5:AG5"/>
    <mergeCell ref="N10:Q10"/>
    <mergeCell ref="R24:U24"/>
    <mergeCell ref="R14:U14"/>
    <mergeCell ref="B14:E14"/>
    <mergeCell ref="F14:I14"/>
    <mergeCell ref="J14:M14"/>
    <mergeCell ref="N14:Q14"/>
    <mergeCell ref="J21:M21"/>
    <mergeCell ref="N21:Q21"/>
    <mergeCell ref="R21:U21"/>
    <mergeCell ref="R23:U23"/>
    <mergeCell ref="B19:E19"/>
    <mergeCell ref="B20:E20"/>
    <mergeCell ref="R20:U20"/>
    <mergeCell ref="V35:Y35"/>
    <mergeCell ref="Z35:AC35"/>
    <mergeCell ref="C41:D41"/>
    <mergeCell ref="C42:D42"/>
    <mergeCell ref="C43:D43"/>
    <mergeCell ref="G39:H39"/>
    <mergeCell ref="G40:H40"/>
    <mergeCell ref="G41:H41"/>
    <mergeCell ref="G42:H42"/>
    <mergeCell ref="G43:H43"/>
    <mergeCell ref="C39:D39"/>
    <mergeCell ref="C40:D40"/>
    <mergeCell ref="B35:E35"/>
    <mergeCell ref="F35:I35"/>
    <mergeCell ref="J35:M35"/>
    <mergeCell ref="R35:U35"/>
  </mergeCells>
  <pageMargins left="0.7" right="0.7" top="0.75" bottom="0.75" header="0.3" footer="0.3"/>
  <pageSetup scale="85" fitToWidth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19" sqref="I19"/>
    </sheetView>
  </sheetViews>
  <sheetFormatPr defaultColWidth="12.7109375" defaultRowHeight="15" customHeight="1" x14ac:dyDescent="0.2"/>
  <cols>
    <col min="1" max="1" width="25.7109375" customWidth="1"/>
    <col min="2" max="2" width="13" hidden="1" customWidth="1"/>
    <col min="3" max="3" width="11.7109375" hidden="1" customWidth="1"/>
    <col min="4" max="4" width="11" hidden="1" customWidth="1"/>
    <col min="5" max="5" width="11.7109375" hidden="1" customWidth="1"/>
    <col min="6" max="6" width="12.7109375" hidden="1" customWidth="1"/>
    <col min="7" max="7" width="11" hidden="1" customWidth="1"/>
    <col min="8" max="8" width="13.7109375" customWidth="1"/>
    <col min="9" max="9" width="17" customWidth="1"/>
    <col min="10" max="10" width="17.28515625" customWidth="1"/>
    <col min="11" max="13" width="14.28515625" customWidth="1"/>
    <col min="14" max="14" width="16" customWidth="1"/>
    <col min="15" max="17" width="15.7109375" customWidth="1"/>
    <col min="18" max="18" width="23.85546875" customWidth="1"/>
    <col min="19" max="26" width="8.7109375" customWidth="1"/>
  </cols>
  <sheetData>
    <row r="1" spans="1:26" ht="43.9" customHeight="1" x14ac:dyDescent="0.4">
      <c r="A1" s="598" t="s">
        <v>228</v>
      </c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2"/>
      <c r="O1" s="502"/>
      <c r="P1" s="502"/>
      <c r="Q1" s="502"/>
      <c r="R1" s="503"/>
    </row>
    <row r="2" spans="1:26" ht="48.75" customHeight="1" x14ac:dyDescent="0.2">
      <c r="A2" s="232" t="s">
        <v>70</v>
      </c>
      <c r="B2" s="233" t="s">
        <v>71</v>
      </c>
      <c r="C2" s="233" t="s">
        <v>72</v>
      </c>
      <c r="D2" s="233" t="s">
        <v>229</v>
      </c>
      <c r="E2" s="233" t="s">
        <v>230</v>
      </c>
      <c r="F2" s="233" t="s">
        <v>231</v>
      </c>
      <c r="G2" s="233" t="s">
        <v>232</v>
      </c>
      <c r="H2" s="234" t="s">
        <v>233</v>
      </c>
      <c r="I2" s="234" t="s">
        <v>234</v>
      </c>
      <c r="J2" s="234" t="s">
        <v>235</v>
      </c>
      <c r="K2" s="234" t="s">
        <v>236</v>
      </c>
      <c r="L2" s="234" t="s">
        <v>237</v>
      </c>
      <c r="M2" s="234" t="s">
        <v>238</v>
      </c>
      <c r="N2" s="234" t="s">
        <v>239</v>
      </c>
      <c r="O2" s="234" t="s">
        <v>240</v>
      </c>
      <c r="P2" s="234" t="s">
        <v>241</v>
      </c>
      <c r="Q2" s="234" t="s">
        <v>242</v>
      </c>
      <c r="R2" s="235" t="s">
        <v>243</v>
      </c>
      <c r="S2" s="13"/>
      <c r="T2" s="129"/>
      <c r="U2" s="13"/>
      <c r="V2" s="13"/>
      <c r="W2" s="13"/>
      <c r="X2" s="13"/>
      <c r="Y2" s="13"/>
    </row>
    <row r="3" spans="1:26" ht="20.25" customHeight="1" x14ac:dyDescent="0.25">
      <c r="A3" s="236" t="s">
        <v>244</v>
      </c>
      <c r="B3" s="138">
        <v>100000</v>
      </c>
      <c r="C3" s="138">
        <v>100000</v>
      </c>
      <c r="D3" s="138">
        <v>100000</v>
      </c>
      <c r="E3" s="138">
        <v>100000</v>
      </c>
      <c r="F3" s="138">
        <v>100000</v>
      </c>
      <c r="G3" s="138">
        <v>100000</v>
      </c>
      <c r="H3" s="237">
        <v>100000</v>
      </c>
      <c r="I3" s="237">
        <v>100000</v>
      </c>
      <c r="J3" s="237">
        <v>100000</v>
      </c>
      <c r="K3" s="237">
        <v>0</v>
      </c>
      <c r="L3" s="237">
        <v>100000</v>
      </c>
      <c r="M3" s="237">
        <v>100000</v>
      </c>
      <c r="N3" s="237">
        <v>100000</v>
      </c>
      <c r="O3" s="237">
        <v>100000</v>
      </c>
      <c r="P3" s="237">
        <v>100000</v>
      </c>
      <c r="Q3" s="237">
        <v>100000</v>
      </c>
      <c r="R3" s="237">
        <f t="shared" ref="R3:R15" si="0">Q3-P3</f>
        <v>0</v>
      </c>
      <c r="S3" s="13"/>
      <c r="T3" s="129"/>
      <c r="U3" s="13"/>
      <c r="V3" s="13"/>
      <c r="W3" s="13"/>
      <c r="X3" s="13"/>
      <c r="Y3" s="13"/>
      <c r="Z3" s="13"/>
    </row>
    <row r="4" spans="1:26" ht="20.25" customHeight="1" x14ac:dyDescent="0.25">
      <c r="A4" s="238" t="s">
        <v>19</v>
      </c>
      <c r="B4" s="239">
        <v>60000</v>
      </c>
      <c r="C4" s="142">
        <v>60000</v>
      </c>
      <c r="D4" s="142">
        <v>60000</v>
      </c>
      <c r="E4" s="142">
        <v>60000</v>
      </c>
      <c r="F4" s="142">
        <v>60000</v>
      </c>
      <c r="G4" s="142">
        <v>60000</v>
      </c>
      <c r="H4" s="240">
        <v>60000</v>
      </c>
      <c r="I4" s="240">
        <v>60000</v>
      </c>
      <c r="J4" s="240">
        <v>60000</v>
      </c>
      <c r="K4" s="240">
        <v>60000</v>
      </c>
      <c r="L4" s="237">
        <v>60000</v>
      </c>
      <c r="M4" s="237">
        <v>60000</v>
      </c>
      <c r="N4" s="237">
        <v>60000</v>
      </c>
      <c r="O4" s="237">
        <v>62000</v>
      </c>
      <c r="P4" s="237">
        <v>62000</v>
      </c>
      <c r="Q4" s="237">
        <v>62000</v>
      </c>
      <c r="R4" s="237">
        <f t="shared" si="0"/>
        <v>0</v>
      </c>
      <c r="S4" s="13"/>
      <c r="T4" s="13"/>
      <c r="U4" s="13"/>
      <c r="V4" s="13"/>
      <c r="W4" s="13"/>
      <c r="X4" s="13"/>
      <c r="Y4" s="13"/>
    </row>
    <row r="5" spans="1:26" ht="20.25" customHeight="1" x14ac:dyDescent="0.25">
      <c r="A5" s="241" t="s">
        <v>27</v>
      </c>
      <c r="B5" s="142">
        <v>73206</v>
      </c>
      <c r="C5" s="142">
        <v>87000</v>
      </c>
      <c r="D5" s="142">
        <v>65000</v>
      </c>
      <c r="E5" s="142">
        <v>67000</v>
      </c>
      <c r="F5" s="142">
        <v>65000</v>
      </c>
      <c r="G5" s="142">
        <v>66000</v>
      </c>
      <c r="H5" s="240">
        <v>88000</v>
      </c>
      <c r="I5" s="240">
        <v>103489.58333333333</v>
      </c>
      <c r="J5" s="240">
        <v>87822.580645161288</v>
      </c>
      <c r="K5" s="240">
        <v>84933.333333333328</v>
      </c>
      <c r="L5" s="237">
        <v>66000</v>
      </c>
      <c r="M5" s="237">
        <v>103483.87096774194</v>
      </c>
      <c r="N5" s="237">
        <v>118000</v>
      </c>
      <c r="O5" s="237">
        <v>117387.09677419355</v>
      </c>
      <c r="P5" s="237">
        <v>119000</v>
      </c>
      <c r="Q5" s="237">
        <v>94000</v>
      </c>
      <c r="R5" s="237">
        <f t="shared" si="0"/>
        <v>-25000</v>
      </c>
      <c r="S5" s="13"/>
      <c r="T5" s="13"/>
      <c r="U5" s="13"/>
      <c r="V5" s="13"/>
      <c r="W5" s="13"/>
      <c r="X5" s="13"/>
      <c r="Y5" s="13"/>
    </row>
    <row r="6" spans="1:26" ht="20.25" customHeight="1" x14ac:dyDescent="0.25">
      <c r="A6" s="241" t="s">
        <v>245</v>
      </c>
      <c r="B6" s="142">
        <v>147448.27586206896</v>
      </c>
      <c r="C6" s="142">
        <v>116709.67741935482</v>
      </c>
      <c r="D6" s="142">
        <v>32250</v>
      </c>
      <c r="E6" s="142">
        <v>32250</v>
      </c>
      <c r="F6" s="142">
        <v>32250</v>
      </c>
      <c r="G6" s="142">
        <v>32250</v>
      </c>
      <c r="H6" s="240">
        <v>32250</v>
      </c>
      <c r="I6" s="240">
        <v>29300</v>
      </c>
      <c r="J6" s="240">
        <v>31750</v>
      </c>
      <c r="K6" s="240">
        <v>40875</v>
      </c>
      <c r="L6" s="237">
        <v>31500</v>
      </c>
      <c r="M6" s="237">
        <v>31500</v>
      </c>
      <c r="N6" s="237">
        <v>31500</v>
      </c>
      <c r="O6" s="237">
        <v>31500</v>
      </c>
      <c r="P6" s="237">
        <f>'Salary Sheets'!Q30</f>
        <v>142956.25</v>
      </c>
      <c r="Q6" s="237">
        <v>37258.06451612903</v>
      </c>
      <c r="R6" s="237">
        <f t="shared" si="0"/>
        <v>-105698.18548387097</v>
      </c>
      <c r="S6" s="13"/>
      <c r="T6" s="129"/>
      <c r="U6" s="13"/>
      <c r="V6" s="13"/>
      <c r="W6" s="13"/>
      <c r="X6" s="13"/>
      <c r="Y6" s="13"/>
    </row>
    <row r="7" spans="1:26" ht="20.25" customHeight="1" x14ac:dyDescent="0.25">
      <c r="A7" s="241" t="s">
        <v>246</v>
      </c>
      <c r="B7" s="142">
        <v>132799.31034482759</v>
      </c>
      <c r="C7" s="142">
        <v>63387.096774193546</v>
      </c>
      <c r="D7" s="142">
        <v>41481.25</v>
      </c>
      <c r="E7" s="142">
        <v>53254.032258064515</v>
      </c>
      <c r="F7" s="142">
        <v>42143.75</v>
      </c>
      <c r="G7" s="142">
        <v>30919.354838709678</v>
      </c>
      <c r="H7" s="240">
        <v>35761.088709677424</v>
      </c>
      <c r="I7" s="240">
        <v>99415.625</v>
      </c>
      <c r="J7" s="240">
        <v>97959.677419354834</v>
      </c>
      <c r="K7" s="240">
        <v>54868.75</v>
      </c>
      <c r="L7" s="237">
        <v>52703.629032258061</v>
      </c>
      <c r="M7" s="237">
        <v>53987.145161290318</v>
      </c>
      <c r="N7" s="237">
        <v>92420.758928571435</v>
      </c>
      <c r="O7" s="237">
        <v>81163.548387096773</v>
      </c>
      <c r="P7" s="237">
        <v>72583.333333333328</v>
      </c>
      <c r="Q7" s="237">
        <v>75645.161290322576</v>
      </c>
      <c r="R7" s="237">
        <f t="shared" si="0"/>
        <v>3061.8279569892475</v>
      </c>
      <c r="S7" s="13"/>
      <c r="T7" s="129"/>
      <c r="U7" s="88"/>
      <c r="V7" s="88"/>
      <c r="W7" s="88"/>
      <c r="X7" s="88"/>
      <c r="Y7" s="13"/>
    </row>
    <row r="8" spans="1:26" ht="20.25" customHeight="1" x14ac:dyDescent="0.25">
      <c r="A8" s="241" t="s">
        <v>31</v>
      </c>
      <c r="B8" s="142">
        <v>372668.96551724145</v>
      </c>
      <c r="C8" s="142">
        <v>306071.05846774194</v>
      </c>
      <c r="D8" s="142">
        <v>205928.33333333331</v>
      </c>
      <c r="E8" s="142">
        <v>255428.46774193548</v>
      </c>
      <c r="F8" s="142">
        <v>285739.58333333343</v>
      </c>
      <c r="G8" s="142">
        <v>169628.98387096776</v>
      </c>
      <c r="H8" s="240">
        <v>214618.54838709679</v>
      </c>
      <c r="I8" s="240">
        <v>263865.91666666669</v>
      </c>
      <c r="J8" s="240">
        <v>288039.31451612909</v>
      </c>
      <c r="K8" s="240">
        <v>261683.95833333337</v>
      </c>
      <c r="L8" s="237">
        <v>193254.97580645161</v>
      </c>
      <c r="M8" s="237">
        <v>212582.85483870967</v>
      </c>
      <c r="N8" s="237">
        <v>232213.1696428571</v>
      </c>
      <c r="O8" s="237">
        <v>241484.47580645161</v>
      </c>
      <c r="P8" s="237">
        <f>'Salary Sheets'!Q47</f>
        <v>327750</v>
      </c>
      <c r="Q8" s="237">
        <v>201483.87096774194</v>
      </c>
      <c r="R8" s="237">
        <f t="shared" si="0"/>
        <v>-126266.12903225806</v>
      </c>
      <c r="S8" s="13"/>
      <c r="T8" s="129"/>
      <c r="U8" s="13"/>
      <c r="V8" s="13"/>
      <c r="W8" s="13"/>
      <c r="X8" s="13"/>
      <c r="Y8" s="13"/>
    </row>
    <row r="9" spans="1:26" ht="20.25" customHeight="1" x14ac:dyDescent="0.25">
      <c r="A9" s="241" t="s">
        <v>247</v>
      </c>
      <c r="B9" s="142">
        <v>120506.03448275861</v>
      </c>
      <c r="C9" s="142">
        <v>131841.12903225809</v>
      </c>
      <c r="D9" s="142">
        <v>104362.49999999999</v>
      </c>
      <c r="E9" s="142">
        <v>104752.41935483871</v>
      </c>
      <c r="F9" s="142">
        <v>113883.33333333334</v>
      </c>
      <c r="G9" s="142">
        <v>105737.90322580645</v>
      </c>
      <c r="H9" s="240">
        <v>103883.06451612903</v>
      </c>
      <c r="I9" s="240">
        <v>109841.66666666667</v>
      </c>
      <c r="J9" s="240">
        <v>117032.25806451612</v>
      </c>
      <c r="K9" s="240">
        <v>105759.16666666667</v>
      </c>
      <c r="L9" s="237">
        <v>119633.06451612904</v>
      </c>
      <c r="M9" s="237">
        <v>122745.96774193548</v>
      </c>
      <c r="N9" s="237">
        <v>113383.92857142855</v>
      </c>
      <c r="O9" s="237">
        <v>100282.25806451612</v>
      </c>
      <c r="P9" s="237">
        <v>116254.16666666666</v>
      </c>
      <c r="Q9" s="237">
        <v>121334.67741935483</v>
      </c>
      <c r="R9" s="237">
        <f t="shared" si="0"/>
        <v>5080.5107526881766</v>
      </c>
      <c r="S9" s="13"/>
      <c r="T9" s="129"/>
      <c r="U9" s="13"/>
      <c r="V9" s="13"/>
      <c r="W9" s="13"/>
      <c r="X9" s="13"/>
      <c r="Y9" s="13"/>
      <c r="Z9" s="129"/>
    </row>
    <row r="10" spans="1:26" ht="20.25" customHeight="1" x14ac:dyDescent="0.25">
      <c r="A10" s="241" t="s">
        <v>248</v>
      </c>
      <c r="B10" s="142">
        <v>93330.732758620696</v>
      </c>
      <c r="C10" s="142">
        <v>87991.93548387097</v>
      </c>
      <c r="D10" s="142">
        <v>61687.5</v>
      </c>
      <c r="E10" s="142">
        <v>72469.354838709682</v>
      </c>
      <c r="F10" s="142">
        <v>92054.166666666672</v>
      </c>
      <c r="G10" s="142">
        <v>92983.870967741939</v>
      </c>
      <c r="H10" s="240">
        <v>95745.967741935485</v>
      </c>
      <c r="I10" s="240">
        <v>91266.666666666657</v>
      </c>
      <c r="J10" s="240">
        <v>82338.709677419363</v>
      </c>
      <c r="K10" s="240">
        <v>87658.333333333328</v>
      </c>
      <c r="L10" s="237">
        <v>98245.967741935485</v>
      </c>
      <c r="M10" s="237">
        <v>104427.41935483871</v>
      </c>
      <c r="N10" s="237">
        <v>89080.357142857145</v>
      </c>
      <c r="O10" s="237">
        <v>87447.580645161288</v>
      </c>
      <c r="P10" s="237">
        <v>92458.333333333343</v>
      </c>
      <c r="Q10" s="237">
        <v>89770.161290322576</v>
      </c>
      <c r="R10" s="237">
        <f t="shared" si="0"/>
        <v>-2688.1720430107671</v>
      </c>
      <c r="S10" s="13"/>
      <c r="T10" s="129"/>
      <c r="U10" s="13"/>
      <c r="V10" s="13"/>
      <c r="W10" s="13"/>
      <c r="X10" s="13"/>
      <c r="Y10" s="13"/>
      <c r="Z10" s="129"/>
    </row>
    <row r="11" spans="1:26" ht="20.25" customHeight="1" x14ac:dyDescent="0.25">
      <c r="A11" s="241" t="s">
        <v>249</v>
      </c>
      <c r="B11" s="142">
        <v>47469.310344827587</v>
      </c>
      <c r="C11" s="142">
        <v>29145.16129032258</v>
      </c>
      <c r="D11" s="142">
        <v>27083.333333333332</v>
      </c>
      <c r="E11" s="142">
        <v>28830.645161290322</v>
      </c>
      <c r="F11" s="142">
        <v>27083.333333333332</v>
      </c>
      <c r="G11" s="142">
        <v>29145.16129032258</v>
      </c>
      <c r="H11" s="240">
        <v>45596.774193548386</v>
      </c>
      <c r="I11" s="240">
        <v>45641.666666666672</v>
      </c>
      <c r="J11" s="240">
        <v>48903.225806451621</v>
      </c>
      <c r="K11" s="240">
        <v>39968.75</v>
      </c>
      <c r="L11" s="237">
        <v>48483.870967741939</v>
      </c>
      <c r="M11" s="237">
        <v>52201.612903225803</v>
      </c>
      <c r="N11" s="237">
        <v>67227.678571428565</v>
      </c>
      <c r="O11" s="237">
        <v>107939.51612903226</v>
      </c>
      <c r="P11" s="237">
        <v>81066.666666666672</v>
      </c>
      <c r="Q11" s="237">
        <v>84967.741935483878</v>
      </c>
      <c r="R11" s="237">
        <f t="shared" si="0"/>
        <v>3901.075268817207</v>
      </c>
      <c r="S11" s="13"/>
      <c r="T11" s="129"/>
      <c r="U11" s="13"/>
      <c r="V11" s="13"/>
      <c r="W11" s="13"/>
      <c r="X11" s="13"/>
      <c r="Y11" s="13"/>
    </row>
    <row r="12" spans="1:26" ht="36" customHeight="1" x14ac:dyDescent="0.25">
      <c r="A12" s="242" t="s">
        <v>250</v>
      </c>
      <c r="B12" s="142"/>
      <c r="C12" s="142"/>
      <c r="D12" s="142"/>
      <c r="E12" s="142"/>
      <c r="F12" s="142"/>
      <c r="G12" s="142"/>
      <c r="H12" s="240"/>
      <c r="I12" s="240"/>
      <c r="J12" s="240"/>
      <c r="K12" s="240"/>
      <c r="L12" s="237"/>
      <c r="M12" s="237"/>
      <c r="N12" s="237"/>
      <c r="O12" s="237"/>
      <c r="P12" s="237">
        <f>'Salary Sheets'!Q99</f>
        <v>832195.83333333349</v>
      </c>
      <c r="Q12" s="237">
        <v>254832.25806451612</v>
      </c>
      <c r="R12" s="237">
        <f t="shared" si="0"/>
        <v>-577363.57526881737</v>
      </c>
      <c r="S12" s="13"/>
      <c r="T12" s="129"/>
      <c r="U12" s="13"/>
      <c r="V12" s="13"/>
      <c r="W12" s="13"/>
      <c r="X12" s="13"/>
      <c r="Y12" s="13"/>
    </row>
    <row r="13" spans="1:26" ht="20.25" customHeight="1" x14ac:dyDescent="0.25">
      <c r="A13" s="241" t="s">
        <v>251</v>
      </c>
      <c r="B13" s="142"/>
      <c r="C13" s="142"/>
      <c r="D13" s="142"/>
      <c r="E13" s="142"/>
      <c r="F13" s="142"/>
      <c r="G13" s="142"/>
      <c r="H13" s="240"/>
      <c r="I13" s="240"/>
      <c r="J13" s="240"/>
      <c r="K13" s="240"/>
      <c r="L13" s="237"/>
      <c r="M13" s="237"/>
      <c r="N13" s="237"/>
      <c r="O13" s="237"/>
      <c r="P13" s="237" t="e">
        <f>'Salary Sheets'!#REF!</f>
        <v>#REF!</v>
      </c>
      <c r="Q13" s="237" t="e">
        <f>'Salary Sheets'!#REF!</f>
        <v>#REF!</v>
      </c>
      <c r="R13" s="237" t="e">
        <f t="shared" si="0"/>
        <v>#REF!</v>
      </c>
      <c r="S13" s="13"/>
      <c r="T13" s="129"/>
      <c r="U13" s="13"/>
      <c r="V13" s="13"/>
      <c r="W13" s="13"/>
      <c r="X13" s="13"/>
      <c r="Y13" s="13"/>
    </row>
    <row r="14" spans="1:26" ht="20.25" customHeight="1" x14ac:dyDescent="0.25">
      <c r="A14" s="241" t="s">
        <v>252</v>
      </c>
      <c r="B14" s="142">
        <v>160366.37931034484</v>
      </c>
      <c r="C14" s="142">
        <v>169366.93548387097</v>
      </c>
      <c r="D14" s="142">
        <v>177360</v>
      </c>
      <c r="E14" s="142">
        <v>201414.11290322582</v>
      </c>
      <c r="F14" s="142">
        <v>185683.33333333334</v>
      </c>
      <c r="G14" s="142">
        <v>178671.93548387097</v>
      </c>
      <c r="H14" s="240">
        <v>186343.54838709679</v>
      </c>
      <c r="I14" s="240">
        <v>183710</v>
      </c>
      <c r="J14" s="240">
        <v>208798.38709677421</v>
      </c>
      <c r="K14" s="240">
        <v>172205.83333333334</v>
      </c>
      <c r="L14" s="237">
        <v>99483.870967741939</v>
      </c>
      <c r="M14" s="237">
        <v>104608.87096774192</v>
      </c>
      <c r="N14" s="237">
        <v>156408.92857142858</v>
      </c>
      <c r="O14" s="237">
        <v>106806.45161290321</v>
      </c>
      <c r="P14" s="237">
        <v>127450</v>
      </c>
      <c r="Q14" s="237">
        <v>0</v>
      </c>
      <c r="R14" s="237">
        <f t="shared" si="0"/>
        <v>-127450</v>
      </c>
      <c r="S14" s="13"/>
      <c r="T14" s="129"/>
      <c r="U14" s="13"/>
      <c r="V14" s="13"/>
      <c r="W14" s="13"/>
      <c r="X14" s="13"/>
      <c r="Y14" s="13"/>
      <c r="Z14" s="129"/>
    </row>
    <row r="15" spans="1:26" ht="12.75" customHeight="1" x14ac:dyDescent="0.2">
      <c r="A15" s="243" t="s">
        <v>253</v>
      </c>
      <c r="B15" s="244">
        <v>214942.75862068965</v>
      </c>
      <c r="C15" s="142">
        <v>204628.70967741933</v>
      </c>
      <c r="D15" s="142">
        <v>91566.666666666672</v>
      </c>
      <c r="E15" s="142">
        <v>100387.09677419355</v>
      </c>
      <c r="F15" s="142">
        <v>41733.333333333336</v>
      </c>
      <c r="G15" s="142">
        <v>2580.6451612903224</v>
      </c>
      <c r="H15" s="240">
        <v>34870.967741935485</v>
      </c>
      <c r="I15" s="240">
        <v>61920.833333333336</v>
      </c>
      <c r="J15" s="240">
        <v>44959.677419354841</v>
      </c>
      <c r="K15" s="240">
        <v>38666.666666666672</v>
      </c>
      <c r="L15" s="237">
        <v>39516.129032258061</v>
      </c>
      <c r="M15" s="237">
        <v>43000</v>
      </c>
      <c r="N15" s="237">
        <v>50142.857142857145</v>
      </c>
      <c r="O15" s="237">
        <v>102443.54838709676</v>
      </c>
      <c r="P15" s="237" t="e">
        <f>'Salary Sheets'!#REF!</f>
        <v>#REF!</v>
      </c>
      <c r="Q15" s="237" t="e">
        <f>'Salary Sheets'!#REF!</f>
        <v>#REF!</v>
      </c>
      <c r="R15" s="237" t="e">
        <f t="shared" si="0"/>
        <v>#REF!</v>
      </c>
      <c r="S15" s="13"/>
      <c r="U15" s="13"/>
      <c r="V15" s="13"/>
      <c r="W15" s="13"/>
      <c r="X15" s="13"/>
      <c r="Y15" s="13"/>
      <c r="Z15" s="129"/>
    </row>
    <row r="16" spans="1:26" ht="29.25" customHeight="1" x14ac:dyDescent="0.2">
      <c r="A16" s="245" t="s">
        <v>82</v>
      </c>
      <c r="B16" s="245">
        <f t="shared" ref="B16:R16" si="1">SUM(B3:B15)</f>
        <v>1522737.7672413792</v>
      </c>
      <c r="C16" s="245">
        <f t="shared" si="1"/>
        <v>1356141.7036290322</v>
      </c>
      <c r="D16" s="245">
        <f t="shared" si="1"/>
        <v>966719.58333333326</v>
      </c>
      <c r="E16" s="245">
        <f t="shared" si="1"/>
        <v>1075786.1290322579</v>
      </c>
      <c r="F16" s="245">
        <f t="shared" si="1"/>
        <v>1045570.8333333336</v>
      </c>
      <c r="G16" s="245">
        <f t="shared" si="1"/>
        <v>867917.8548387097</v>
      </c>
      <c r="H16" s="245">
        <f t="shared" si="1"/>
        <v>997069.95967741939</v>
      </c>
      <c r="I16" s="245">
        <f t="shared" si="1"/>
        <v>1148451.9583333333</v>
      </c>
      <c r="J16" s="245">
        <f t="shared" si="1"/>
        <v>1167603.8306451614</v>
      </c>
      <c r="K16" s="245">
        <f t="shared" si="1"/>
        <v>946619.79166666674</v>
      </c>
      <c r="L16" s="245">
        <f t="shared" si="1"/>
        <v>908821.50806451624</v>
      </c>
      <c r="M16" s="245">
        <f t="shared" si="1"/>
        <v>988537.74193548388</v>
      </c>
      <c r="N16" s="245">
        <f t="shared" si="1"/>
        <v>1110377.6785714284</v>
      </c>
      <c r="O16" s="245">
        <f t="shared" si="1"/>
        <v>1138454.4758064516</v>
      </c>
      <c r="P16" s="245" t="e">
        <f t="shared" si="1"/>
        <v>#REF!</v>
      </c>
      <c r="Q16" s="245" t="e">
        <f t="shared" si="1"/>
        <v>#REF!</v>
      </c>
      <c r="R16" s="245" t="e">
        <f t="shared" si="1"/>
        <v>#REF!</v>
      </c>
      <c r="S16" s="13"/>
      <c r="W16" s="13"/>
      <c r="Y16" s="13"/>
    </row>
    <row r="17" spans="16:17" ht="12.75" customHeight="1" x14ac:dyDescent="0.2">
      <c r="P17" s="13"/>
      <c r="Q17" s="13"/>
    </row>
    <row r="18" spans="16:17" ht="12.75" customHeight="1" x14ac:dyDescent="0.2"/>
    <row r="19" spans="16:17" ht="12.75" customHeight="1" x14ac:dyDescent="0.2"/>
    <row r="20" spans="16:17" ht="12.75" customHeight="1" x14ac:dyDescent="0.2"/>
    <row r="21" spans="16:17" ht="12.75" customHeight="1" x14ac:dyDescent="0.2"/>
    <row r="22" spans="16:17" ht="12.75" customHeight="1" x14ac:dyDescent="0.2"/>
    <row r="23" spans="16:17" ht="12.75" customHeight="1" x14ac:dyDescent="0.2"/>
    <row r="24" spans="16:17" ht="12.75" customHeight="1" x14ac:dyDescent="0.2"/>
    <row r="25" spans="16:17" ht="12.75" customHeight="1" x14ac:dyDescent="0.2"/>
    <row r="26" spans="16:17" ht="12.75" customHeight="1" x14ac:dyDescent="0.2"/>
    <row r="27" spans="16:17" ht="12.75" customHeight="1" x14ac:dyDescent="0.2"/>
    <row r="28" spans="16:17" ht="12.75" customHeight="1" x14ac:dyDescent="0.2"/>
    <row r="29" spans="16:17" ht="12.75" customHeight="1" x14ac:dyDescent="0.2"/>
    <row r="30" spans="16:17" ht="12.75" customHeight="1" x14ac:dyDescent="0.2"/>
    <row r="31" spans="16:17" ht="12.75" customHeight="1" x14ac:dyDescent="0.2"/>
    <row r="32" spans="16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R1"/>
  </mergeCells>
  <printOptions horizontalCentered="1" verticalCentered="1"/>
  <pageMargins left="0" right="0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008"/>
  <sheetViews>
    <sheetView topLeftCell="A82" workbookViewId="0">
      <selection activeCell="F87" sqref="F87"/>
    </sheetView>
  </sheetViews>
  <sheetFormatPr defaultColWidth="12.7109375" defaultRowHeight="15" customHeight="1" x14ac:dyDescent="0.2"/>
  <cols>
    <col min="2" max="2" width="25.7109375" customWidth="1"/>
    <col min="3" max="3" width="10.85546875" customWidth="1"/>
    <col min="4" max="4" width="14.85546875" customWidth="1"/>
    <col min="5" max="5" width="15.140625" customWidth="1"/>
    <col min="6" max="6" width="17.28515625" customWidth="1"/>
    <col min="7" max="27" width="8.7109375" customWidth="1"/>
  </cols>
  <sheetData>
    <row r="2" spans="2:6" ht="34.15" customHeight="1" x14ac:dyDescent="0.4">
      <c r="B2" s="598" t="s">
        <v>328</v>
      </c>
      <c r="C2" s="502"/>
      <c r="D2" s="502"/>
      <c r="E2" s="502"/>
      <c r="F2" s="503"/>
    </row>
    <row r="3" spans="2:6" ht="40.9" customHeight="1" x14ac:dyDescent="0.2">
      <c r="B3" s="379" t="s">
        <v>254</v>
      </c>
      <c r="C3" s="246"/>
      <c r="D3" s="247" t="s">
        <v>255</v>
      </c>
      <c r="E3" s="247" t="s">
        <v>256</v>
      </c>
      <c r="F3" s="247" t="s">
        <v>23</v>
      </c>
    </row>
    <row r="4" spans="2:6" ht="19.899999999999999" customHeight="1" x14ac:dyDescent="0.25">
      <c r="B4" s="236" t="s">
        <v>184</v>
      </c>
      <c r="C4" s="599" t="s">
        <v>257</v>
      </c>
      <c r="D4" s="469">
        <v>24500</v>
      </c>
      <c r="E4" s="469">
        <v>2000</v>
      </c>
      <c r="F4" s="470">
        <f t="shared" ref="F4:F81" si="0">E4+D4</f>
        <v>26500</v>
      </c>
    </row>
    <row r="5" spans="2:6" ht="19.899999999999999" customHeight="1" x14ac:dyDescent="0.25">
      <c r="B5" s="236" t="s">
        <v>180</v>
      </c>
      <c r="C5" s="600"/>
      <c r="D5" s="469">
        <v>25000</v>
      </c>
      <c r="E5" s="469">
        <v>2000</v>
      </c>
      <c r="F5" s="470">
        <f t="shared" si="0"/>
        <v>27000</v>
      </c>
    </row>
    <row r="6" spans="2:6" ht="19.899999999999999" customHeight="1" x14ac:dyDescent="0.25">
      <c r="B6" s="236" t="s">
        <v>258</v>
      </c>
      <c r="C6" s="600"/>
      <c r="D6" s="469">
        <v>32500</v>
      </c>
      <c r="E6" s="469">
        <v>2000</v>
      </c>
      <c r="F6" s="470">
        <f t="shared" si="0"/>
        <v>34500</v>
      </c>
    </row>
    <row r="7" spans="2:6" ht="19.899999999999999" customHeight="1" x14ac:dyDescent="0.25">
      <c r="B7" s="236" t="s">
        <v>186</v>
      </c>
      <c r="C7" s="601"/>
      <c r="D7" s="469">
        <v>21000</v>
      </c>
      <c r="E7" s="469">
        <v>1000</v>
      </c>
      <c r="F7" s="470">
        <f t="shared" si="0"/>
        <v>22000</v>
      </c>
    </row>
    <row r="8" spans="2:6" ht="19.899999999999999" customHeight="1" x14ac:dyDescent="0.25">
      <c r="B8" s="236" t="s">
        <v>214</v>
      </c>
      <c r="C8" s="602" t="s">
        <v>259</v>
      </c>
      <c r="D8" s="470">
        <v>40000</v>
      </c>
      <c r="E8" s="470">
        <v>5000</v>
      </c>
      <c r="F8" s="470">
        <f t="shared" si="0"/>
        <v>45000</v>
      </c>
    </row>
    <row r="9" spans="2:6" ht="19.899999999999999" customHeight="1" x14ac:dyDescent="0.25">
      <c r="B9" s="238" t="s">
        <v>260</v>
      </c>
      <c r="C9" s="603"/>
      <c r="D9" s="471">
        <v>55000</v>
      </c>
      <c r="E9" s="471">
        <v>5000</v>
      </c>
      <c r="F9" s="470">
        <f t="shared" si="0"/>
        <v>60000</v>
      </c>
    </row>
    <row r="10" spans="2:6" ht="19.899999999999999" customHeight="1" x14ac:dyDescent="0.25">
      <c r="B10" s="241" t="s">
        <v>189</v>
      </c>
      <c r="C10" s="603"/>
      <c r="D10" s="471">
        <v>30000</v>
      </c>
      <c r="E10" s="471">
        <v>5000</v>
      </c>
      <c r="F10" s="470">
        <f t="shared" si="0"/>
        <v>35000</v>
      </c>
    </row>
    <row r="11" spans="2:6" ht="19.899999999999999" customHeight="1" x14ac:dyDescent="0.25">
      <c r="B11" s="241" t="s">
        <v>261</v>
      </c>
      <c r="C11" s="603"/>
      <c r="D11" s="471">
        <v>38000</v>
      </c>
      <c r="E11" s="471">
        <v>5000</v>
      </c>
      <c r="F11" s="470">
        <f t="shared" si="0"/>
        <v>43000</v>
      </c>
    </row>
    <row r="12" spans="2:6" ht="19.899999999999999" customHeight="1" x14ac:dyDescent="0.25">
      <c r="B12" s="241" t="s">
        <v>262</v>
      </c>
      <c r="C12" s="603"/>
      <c r="D12" s="471">
        <v>28000</v>
      </c>
      <c r="E12" s="471">
        <v>3000</v>
      </c>
      <c r="F12" s="470">
        <f t="shared" si="0"/>
        <v>31000</v>
      </c>
    </row>
    <row r="13" spans="2:6" ht="19.899999999999999" customHeight="1" x14ac:dyDescent="0.25">
      <c r="B13" s="241" t="s">
        <v>263</v>
      </c>
      <c r="C13" s="603"/>
      <c r="D13" s="471">
        <v>22000</v>
      </c>
      <c r="E13" s="471">
        <v>3000</v>
      </c>
      <c r="F13" s="470">
        <f t="shared" si="0"/>
        <v>25000</v>
      </c>
    </row>
    <row r="14" spans="2:6" ht="19.899999999999999" customHeight="1" x14ac:dyDescent="0.25">
      <c r="B14" s="241" t="s">
        <v>264</v>
      </c>
      <c r="C14" s="603"/>
      <c r="D14" s="471">
        <v>24000</v>
      </c>
      <c r="E14" s="471">
        <v>2000</v>
      </c>
      <c r="F14" s="470">
        <f t="shared" si="0"/>
        <v>26000</v>
      </c>
    </row>
    <row r="15" spans="2:6" ht="19.899999999999999" customHeight="1" x14ac:dyDescent="0.25">
      <c r="B15" s="248" t="s">
        <v>144</v>
      </c>
      <c r="C15" s="603"/>
      <c r="D15" s="472">
        <v>27000</v>
      </c>
      <c r="E15" s="472">
        <v>3000</v>
      </c>
      <c r="F15" s="473">
        <f t="shared" si="0"/>
        <v>30000</v>
      </c>
    </row>
    <row r="16" spans="2:6" ht="19.899999999999999" customHeight="1" x14ac:dyDescent="0.25">
      <c r="B16" s="249" t="s">
        <v>265</v>
      </c>
      <c r="C16" s="604" t="s">
        <v>266</v>
      </c>
      <c r="D16" s="474">
        <v>54000</v>
      </c>
      <c r="E16" s="474">
        <v>5000</v>
      </c>
      <c r="F16" s="474">
        <f t="shared" si="0"/>
        <v>59000</v>
      </c>
    </row>
    <row r="17" spans="2:6" ht="19.899999999999999" customHeight="1" x14ac:dyDescent="0.25">
      <c r="B17" s="250" t="s">
        <v>267</v>
      </c>
      <c r="C17" s="605"/>
      <c r="D17" s="474">
        <v>27500</v>
      </c>
      <c r="E17" s="474">
        <v>2000</v>
      </c>
      <c r="F17" s="474">
        <f t="shared" si="0"/>
        <v>29500</v>
      </c>
    </row>
    <row r="18" spans="2:6" ht="19.899999999999999" customHeight="1" x14ac:dyDescent="0.25">
      <c r="B18" s="249" t="s">
        <v>268</v>
      </c>
      <c r="C18" s="605"/>
      <c r="D18" s="474">
        <v>22500</v>
      </c>
      <c r="E18" s="474">
        <v>2000</v>
      </c>
      <c r="F18" s="474">
        <f t="shared" si="0"/>
        <v>24500</v>
      </c>
    </row>
    <row r="19" spans="2:6" ht="19.899999999999999" customHeight="1" x14ac:dyDescent="0.25">
      <c r="B19" s="249" t="s">
        <v>269</v>
      </c>
      <c r="C19" s="606"/>
      <c r="D19" s="474">
        <v>22500</v>
      </c>
      <c r="E19" s="474">
        <v>2000</v>
      </c>
      <c r="F19" s="474">
        <f t="shared" si="0"/>
        <v>24500</v>
      </c>
    </row>
    <row r="20" spans="2:6" ht="19.899999999999999" customHeight="1" x14ac:dyDescent="0.25">
      <c r="B20" s="249" t="s">
        <v>128</v>
      </c>
      <c r="C20" s="607">
        <v>45017</v>
      </c>
      <c r="D20" s="474">
        <v>45000</v>
      </c>
      <c r="E20" s="474">
        <v>5000</v>
      </c>
      <c r="F20" s="474">
        <f t="shared" si="0"/>
        <v>50000</v>
      </c>
    </row>
    <row r="21" spans="2:6" ht="19.899999999999999" customHeight="1" x14ac:dyDescent="0.25">
      <c r="B21" s="249" t="s">
        <v>270</v>
      </c>
      <c r="C21" s="608"/>
      <c r="D21" s="474">
        <v>19000</v>
      </c>
      <c r="E21" s="474">
        <v>3000</v>
      </c>
      <c r="F21" s="474">
        <f t="shared" si="0"/>
        <v>22000</v>
      </c>
    </row>
    <row r="22" spans="2:6" ht="19.899999999999999" customHeight="1" x14ac:dyDescent="0.25">
      <c r="B22" s="249" t="s">
        <v>142</v>
      </c>
      <c r="C22" s="609"/>
      <c r="D22" s="474">
        <v>47000</v>
      </c>
      <c r="E22" s="474">
        <v>3000</v>
      </c>
      <c r="F22" s="474">
        <f t="shared" si="0"/>
        <v>50000</v>
      </c>
    </row>
    <row r="23" spans="2:6" ht="19.899999999999999" customHeight="1" x14ac:dyDescent="0.25">
      <c r="B23" s="249" t="s">
        <v>271</v>
      </c>
      <c r="C23" s="378">
        <v>45047</v>
      </c>
      <c r="D23" s="474">
        <v>25000</v>
      </c>
      <c r="E23" s="474">
        <v>30000</v>
      </c>
      <c r="F23" s="474">
        <f t="shared" si="0"/>
        <v>55000</v>
      </c>
    </row>
    <row r="24" spans="2:6" ht="19.899999999999999" customHeight="1" x14ac:dyDescent="0.25">
      <c r="B24" s="249" t="s">
        <v>184</v>
      </c>
      <c r="C24" s="604" t="s">
        <v>272</v>
      </c>
      <c r="D24" s="474">
        <v>26500</v>
      </c>
      <c r="E24" s="474">
        <v>3000</v>
      </c>
      <c r="F24" s="474">
        <f t="shared" si="0"/>
        <v>29500</v>
      </c>
    </row>
    <row r="25" spans="2:6" ht="19.899999999999999" customHeight="1" x14ac:dyDescent="0.25">
      <c r="B25" s="249" t="s">
        <v>180</v>
      </c>
      <c r="C25" s="608"/>
      <c r="D25" s="474">
        <v>27000</v>
      </c>
      <c r="E25" s="474">
        <v>3000</v>
      </c>
      <c r="F25" s="474">
        <f t="shared" si="0"/>
        <v>30000</v>
      </c>
    </row>
    <row r="26" spans="2:6" ht="19.899999999999999" customHeight="1" x14ac:dyDescent="0.25">
      <c r="B26" s="249" t="s">
        <v>258</v>
      </c>
      <c r="C26" s="608"/>
      <c r="D26" s="474">
        <v>34500</v>
      </c>
      <c r="E26" s="474">
        <v>3000</v>
      </c>
      <c r="F26" s="474">
        <f t="shared" si="0"/>
        <v>37500</v>
      </c>
    </row>
    <row r="27" spans="2:6" ht="19.899999999999999" customHeight="1" x14ac:dyDescent="0.25">
      <c r="B27" s="249" t="s">
        <v>186</v>
      </c>
      <c r="C27" s="609"/>
      <c r="D27" s="474">
        <v>22000</v>
      </c>
      <c r="E27" s="474">
        <v>3000</v>
      </c>
      <c r="F27" s="474">
        <f t="shared" si="0"/>
        <v>25000</v>
      </c>
    </row>
    <row r="28" spans="2:6" ht="19.899999999999999" customHeight="1" x14ac:dyDescent="0.25">
      <c r="B28" s="249" t="s">
        <v>260</v>
      </c>
      <c r="C28" s="604" t="s">
        <v>273</v>
      </c>
      <c r="D28" s="474">
        <v>60000</v>
      </c>
      <c r="E28" s="474">
        <v>5000</v>
      </c>
      <c r="F28" s="474">
        <f t="shared" si="0"/>
        <v>65000</v>
      </c>
    </row>
    <row r="29" spans="2:6" ht="19.899999999999999" customHeight="1" x14ac:dyDescent="0.25">
      <c r="B29" s="249" t="s">
        <v>169</v>
      </c>
      <c r="C29" s="608"/>
      <c r="D29" s="474">
        <v>25000</v>
      </c>
      <c r="E29" s="474">
        <v>2000</v>
      </c>
      <c r="F29" s="474">
        <f t="shared" si="0"/>
        <v>27000</v>
      </c>
    </row>
    <row r="30" spans="2:6" ht="19.899999999999999" customHeight="1" x14ac:dyDescent="0.25">
      <c r="B30" s="249" t="s">
        <v>144</v>
      </c>
      <c r="C30" s="608"/>
      <c r="D30" s="474">
        <v>30000</v>
      </c>
      <c r="E30" s="474">
        <v>5000</v>
      </c>
      <c r="F30" s="474">
        <f t="shared" si="0"/>
        <v>35000</v>
      </c>
    </row>
    <row r="31" spans="2:6" ht="19.899999999999999" customHeight="1" x14ac:dyDescent="0.25">
      <c r="B31" s="249" t="s">
        <v>128</v>
      </c>
      <c r="C31" s="609"/>
      <c r="D31" s="474">
        <v>50000</v>
      </c>
      <c r="E31" s="474">
        <v>20000</v>
      </c>
      <c r="F31" s="474">
        <f t="shared" si="0"/>
        <v>70000</v>
      </c>
    </row>
    <row r="32" spans="2:6" ht="19.899999999999999" customHeight="1" x14ac:dyDescent="0.25">
      <c r="B32" s="251" t="s">
        <v>274</v>
      </c>
      <c r="C32" s="604" t="s">
        <v>275</v>
      </c>
      <c r="D32" s="475">
        <v>45000</v>
      </c>
      <c r="E32" s="475">
        <v>2000</v>
      </c>
      <c r="F32" s="475">
        <f t="shared" si="0"/>
        <v>47000</v>
      </c>
    </row>
    <row r="33" spans="2:8" ht="19.899999999999999" customHeight="1" x14ac:dyDescent="0.25">
      <c r="B33" s="251" t="s">
        <v>130</v>
      </c>
      <c r="C33" s="608"/>
      <c r="D33" s="475">
        <v>38000</v>
      </c>
      <c r="E33" s="475">
        <v>3000</v>
      </c>
      <c r="F33" s="475">
        <f t="shared" si="0"/>
        <v>41000</v>
      </c>
    </row>
    <row r="34" spans="2:8" ht="19.899999999999999" customHeight="1" x14ac:dyDescent="0.25">
      <c r="B34" s="251" t="s">
        <v>153</v>
      </c>
      <c r="C34" s="608"/>
      <c r="D34" s="475">
        <v>45000</v>
      </c>
      <c r="E34" s="475">
        <v>20000</v>
      </c>
      <c r="F34" s="475">
        <f t="shared" si="0"/>
        <v>65000</v>
      </c>
    </row>
    <row r="35" spans="2:8" ht="19.899999999999999" customHeight="1" x14ac:dyDescent="0.25">
      <c r="B35" s="251" t="s">
        <v>276</v>
      </c>
      <c r="C35" s="608"/>
      <c r="D35" s="475">
        <v>32000</v>
      </c>
      <c r="E35" s="475">
        <v>3000</v>
      </c>
      <c r="F35" s="475">
        <f t="shared" si="0"/>
        <v>35000</v>
      </c>
    </row>
    <row r="36" spans="2:8" ht="19.899999999999999" customHeight="1" x14ac:dyDescent="0.25">
      <c r="B36" s="251" t="s">
        <v>277</v>
      </c>
      <c r="C36" s="608"/>
      <c r="D36" s="475">
        <v>23000</v>
      </c>
      <c r="E36" s="475">
        <v>12000</v>
      </c>
      <c r="F36" s="475">
        <f t="shared" si="0"/>
        <v>35000</v>
      </c>
    </row>
    <row r="37" spans="2:8" ht="19.899999999999999" customHeight="1" x14ac:dyDescent="0.25">
      <c r="B37" s="251" t="s">
        <v>155</v>
      </c>
      <c r="C37" s="608"/>
      <c r="D37" s="475">
        <v>22000</v>
      </c>
      <c r="E37" s="475">
        <v>13000</v>
      </c>
      <c r="F37" s="475">
        <f t="shared" si="0"/>
        <v>35000</v>
      </c>
    </row>
    <row r="38" spans="2:8" ht="19.899999999999999" customHeight="1" x14ac:dyDescent="0.25">
      <c r="B38" s="249" t="s">
        <v>278</v>
      </c>
      <c r="C38" s="608"/>
      <c r="D38" s="474">
        <v>30000</v>
      </c>
      <c r="E38" s="474">
        <v>2000</v>
      </c>
      <c r="F38" s="474">
        <f t="shared" si="0"/>
        <v>32000</v>
      </c>
    </row>
    <row r="39" spans="2:8" ht="19.899999999999999" customHeight="1" x14ac:dyDescent="0.25">
      <c r="B39" s="250" t="s">
        <v>267</v>
      </c>
      <c r="C39" s="608"/>
      <c r="D39" s="474">
        <v>29500</v>
      </c>
      <c r="E39" s="474">
        <v>2000</v>
      </c>
      <c r="F39" s="474">
        <f t="shared" si="0"/>
        <v>31500</v>
      </c>
    </row>
    <row r="40" spans="2:8" ht="19.899999999999999" customHeight="1" x14ac:dyDescent="0.25">
      <c r="B40" s="249" t="s">
        <v>268</v>
      </c>
      <c r="C40" s="608"/>
      <c r="D40" s="474">
        <v>24500</v>
      </c>
      <c r="E40" s="474">
        <v>2000</v>
      </c>
      <c r="F40" s="474">
        <f t="shared" si="0"/>
        <v>26500</v>
      </c>
    </row>
    <row r="41" spans="2:8" ht="19.899999999999999" customHeight="1" x14ac:dyDescent="0.25">
      <c r="B41" s="249" t="s">
        <v>269</v>
      </c>
      <c r="C41" s="609"/>
      <c r="D41" s="474">
        <v>24500</v>
      </c>
      <c r="E41" s="474">
        <v>2000</v>
      </c>
      <c r="F41" s="474">
        <f t="shared" si="0"/>
        <v>26500</v>
      </c>
    </row>
    <row r="42" spans="2:8" ht="19.899999999999999" customHeight="1" x14ac:dyDescent="0.25">
      <c r="B42" s="249" t="s">
        <v>260</v>
      </c>
      <c r="C42" s="607">
        <v>45231</v>
      </c>
      <c r="D42" s="474">
        <v>65000</v>
      </c>
      <c r="E42" s="474">
        <v>10000</v>
      </c>
      <c r="F42" s="474">
        <f t="shared" si="0"/>
        <v>75000</v>
      </c>
    </row>
    <row r="43" spans="2:8" ht="19.899999999999999" customHeight="1" x14ac:dyDescent="0.25">
      <c r="B43" s="249" t="s">
        <v>126</v>
      </c>
      <c r="C43" s="609"/>
      <c r="D43" s="474">
        <v>65000</v>
      </c>
      <c r="E43" s="474">
        <v>15000</v>
      </c>
      <c r="F43" s="474">
        <f t="shared" si="0"/>
        <v>80000</v>
      </c>
    </row>
    <row r="44" spans="2:8" ht="19.899999999999999" customHeight="1" x14ac:dyDescent="0.25">
      <c r="B44" s="249" t="s">
        <v>279</v>
      </c>
      <c r="C44" s="607">
        <v>45231</v>
      </c>
      <c r="D44" s="474">
        <v>30000</v>
      </c>
      <c r="E44" s="474">
        <v>5000</v>
      </c>
      <c r="F44" s="474">
        <f t="shared" si="0"/>
        <v>35000</v>
      </c>
    </row>
    <row r="45" spans="2:8" ht="19.899999999999999" customHeight="1" x14ac:dyDescent="0.25">
      <c r="B45" s="249" t="s">
        <v>280</v>
      </c>
      <c r="C45" s="608"/>
      <c r="D45" s="474">
        <v>27000</v>
      </c>
      <c r="E45" s="474">
        <v>8000</v>
      </c>
      <c r="F45" s="474">
        <f t="shared" si="0"/>
        <v>35000</v>
      </c>
      <c r="H45" s="13"/>
    </row>
    <row r="46" spans="2:8" ht="19.899999999999999" customHeight="1" x14ac:dyDescent="0.25">
      <c r="B46" s="249" t="s">
        <v>164</v>
      </c>
      <c r="C46" s="608"/>
      <c r="D46" s="474">
        <v>20000</v>
      </c>
      <c r="E46" s="474">
        <v>5000</v>
      </c>
      <c r="F46" s="474">
        <f t="shared" si="0"/>
        <v>25000</v>
      </c>
      <c r="H46" s="13"/>
    </row>
    <row r="47" spans="2:8" ht="19.899999999999999" customHeight="1" x14ac:dyDescent="0.25">
      <c r="B47" s="249" t="s">
        <v>281</v>
      </c>
      <c r="C47" s="608"/>
      <c r="D47" s="474">
        <v>21000</v>
      </c>
      <c r="E47" s="474">
        <v>6000</v>
      </c>
      <c r="F47" s="474">
        <f t="shared" si="0"/>
        <v>27000</v>
      </c>
      <c r="H47" s="13"/>
    </row>
    <row r="48" spans="2:8" ht="19.899999999999999" customHeight="1" x14ac:dyDescent="0.25">
      <c r="B48" s="249" t="s">
        <v>270</v>
      </c>
      <c r="C48" s="609"/>
      <c r="D48" s="474">
        <v>22000</v>
      </c>
      <c r="E48" s="474">
        <v>5000</v>
      </c>
      <c r="F48" s="474">
        <f t="shared" si="0"/>
        <v>27000</v>
      </c>
      <c r="H48" s="13"/>
    </row>
    <row r="49" spans="2:8" ht="19.899999999999999" customHeight="1" x14ac:dyDescent="0.25">
      <c r="B49" s="249" t="s">
        <v>276</v>
      </c>
      <c r="C49" s="607">
        <v>45292</v>
      </c>
      <c r="D49" s="475">
        <v>35000</v>
      </c>
      <c r="E49" s="475">
        <v>15000</v>
      </c>
      <c r="F49" s="475">
        <f t="shared" si="0"/>
        <v>50000</v>
      </c>
      <c r="H49" s="13"/>
    </row>
    <row r="50" spans="2:8" ht="19.899999999999999" customHeight="1" x14ac:dyDescent="0.25">
      <c r="B50" s="249" t="s">
        <v>282</v>
      </c>
      <c r="C50" s="608"/>
      <c r="D50" s="475">
        <v>35000</v>
      </c>
      <c r="E50" s="475">
        <v>10000</v>
      </c>
      <c r="F50" s="475">
        <f t="shared" si="0"/>
        <v>45000</v>
      </c>
    </row>
    <row r="51" spans="2:8" ht="19.899999999999999" customHeight="1" x14ac:dyDescent="0.25">
      <c r="B51" s="249" t="s">
        <v>283</v>
      </c>
      <c r="C51" s="608"/>
      <c r="D51" s="475">
        <v>35000</v>
      </c>
      <c r="E51" s="475">
        <v>10000</v>
      </c>
      <c r="F51" s="475">
        <f t="shared" si="0"/>
        <v>45000</v>
      </c>
    </row>
    <row r="52" spans="2:8" ht="19.899999999999999" customHeight="1" x14ac:dyDescent="0.25">
      <c r="B52" s="249" t="s">
        <v>284</v>
      </c>
      <c r="C52" s="608"/>
      <c r="D52" s="475">
        <v>25000</v>
      </c>
      <c r="E52" s="475">
        <v>7000</v>
      </c>
      <c r="F52" s="475">
        <f t="shared" si="0"/>
        <v>32000</v>
      </c>
    </row>
    <row r="53" spans="2:8" ht="19.899999999999999" customHeight="1" x14ac:dyDescent="0.25">
      <c r="B53" s="251" t="s">
        <v>285</v>
      </c>
      <c r="C53" s="607">
        <v>45292</v>
      </c>
      <c r="D53" s="475">
        <v>30000</v>
      </c>
      <c r="E53" s="475">
        <v>5000</v>
      </c>
      <c r="F53" s="475">
        <f t="shared" si="0"/>
        <v>35000</v>
      </c>
    </row>
    <row r="54" spans="2:8" ht="19.899999999999999" customHeight="1" x14ac:dyDescent="0.25">
      <c r="B54" s="251" t="s">
        <v>199</v>
      </c>
      <c r="C54" s="608"/>
      <c r="D54" s="475">
        <v>45000</v>
      </c>
      <c r="E54" s="475">
        <v>5000</v>
      </c>
      <c r="F54" s="475">
        <f t="shared" si="0"/>
        <v>50000</v>
      </c>
    </row>
    <row r="55" spans="2:8" ht="19.899999999999999" customHeight="1" x14ac:dyDescent="0.25">
      <c r="B55" s="251" t="s">
        <v>136</v>
      </c>
      <c r="C55" s="608"/>
      <c r="D55" s="475">
        <v>35000</v>
      </c>
      <c r="E55" s="475">
        <v>7000</v>
      </c>
      <c r="F55" s="475">
        <f t="shared" si="0"/>
        <v>42000</v>
      </c>
    </row>
    <row r="56" spans="2:8" ht="19.899999999999999" customHeight="1" x14ac:dyDescent="0.25">
      <c r="B56" s="249" t="s">
        <v>286</v>
      </c>
      <c r="C56" s="615">
        <v>45383</v>
      </c>
      <c r="D56" s="474">
        <v>65000</v>
      </c>
      <c r="E56" s="474">
        <v>10000</v>
      </c>
      <c r="F56" s="474">
        <f t="shared" si="0"/>
        <v>75000</v>
      </c>
    </row>
    <row r="57" spans="2:8" ht="19.899999999999999" customHeight="1" x14ac:dyDescent="0.25">
      <c r="B57" s="249" t="s">
        <v>287</v>
      </c>
      <c r="C57" s="616"/>
      <c r="D57" s="474">
        <v>40000</v>
      </c>
      <c r="E57" s="474">
        <v>10000</v>
      </c>
      <c r="F57" s="474">
        <f t="shared" si="0"/>
        <v>50000</v>
      </c>
    </row>
    <row r="58" spans="2:8" ht="19.899999999999999" customHeight="1" x14ac:dyDescent="0.25">
      <c r="B58" s="249" t="s">
        <v>217</v>
      </c>
      <c r="C58" s="616"/>
      <c r="D58" s="474">
        <v>60000</v>
      </c>
      <c r="E58" s="474">
        <v>10000</v>
      </c>
      <c r="F58" s="474">
        <f t="shared" si="0"/>
        <v>70000</v>
      </c>
    </row>
    <row r="59" spans="2:8" ht="19.899999999999999" customHeight="1" x14ac:dyDescent="0.25">
      <c r="B59" s="251" t="s">
        <v>288</v>
      </c>
      <c r="C59" s="616"/>
      <c r="D59" s="475">
        <v>60000</v>
      </c>
      <c r="E59" s="475">
        <v>10000</v>
      </c>
      <c r="F59" s="476">
        <f t="shared" si="0"/>
        <v>70000</v>
      </c>
    </row>
    <row r="60" spans="2:8" ht="19.899999999999999" customHeight="1" x14ac:dyDescent="0.25">
      <c r="B60" s="375" t="s">
        <v>289</v>
      </c>
      <c r="C60" s="617">
        <v>45413</v>
      </c>
      <c r="D60" s="477">
        <v>41000</v>
      </c>
      <c r="E60" s="477">
        <v>5000</v>
      </c>
      <c r="F60" s="477">
        <f t="shared" si="0"/>
        <v>46000</v>
      </c>
    </row>
    <row r="61" spans="2:8" ht="19.899999999999999" customHeight="1" x14ac:dyDescent="0.25">
      <c r="B61" s="375" t="s">
        <v>290</v>
      </c>
      <c r="C61" s="618"/>
      <c r="D61" s="477">
        <v>45000</v>
      </c>
      <c r="E61" s="477">
        <v>7000</v>
      </c>
      <c r="F61" s="477">
        <f t="shared" si="0"/>
        <v>52000</v>
      </c>
    </row>
    <row r="62" spans="2:8" ht="19.899999999999999" customHeight="1" x14ac:dyDescent="0.25">
      <c r="B62" s="375" t="s">
        <v>258</v>
      </c>
      <c r="C62" s="618"/>
      <c r="D62" s="477">
        <v>37500</v>
      </c>
      <c r="E62" s="477">
        <v>5000</v>
      </c>
      <c r="F62" s="477">
        <f t="shared" si="0"/>
        <v>42500</v>
      </c>
    </row>
    <row r="63" spans="2:8" ht="19.899999999999999" customHeight="1" x14ac:dyDescent="0.25">
      <c r="B63" s="375" t="s">
        <v>291</v>
      </c>
      <c r="C63" s="618"/>
      <c r="D63" s="477">
        <v>22000</v>
      </c>
      <c r="E63" s="477">
        <v>3000</v>
      </c>
      <c r="F63" s="477">
        <f t="shared" si="0"/>
        <v>25000</v>
      </c>
    </row>
    <row r="64" spans="2:8" ht="19.899999999999999" customHeight="1" x14ac:dyDescent="0.25">
      <c r="B64" s="375" t="s">
        <v>189</v>
      </c>
      <c r="C64" s="618"/>
      <c r="D64" s="477">
        <v>35000</v>
      </c>
      <c r="E64" s="477">
        <v>5000</v>
      </c>
      <c r="F64" s="477">
        <f t="shared" si="0"/>
        <v>40000</v>
      </c>
    </row>
    <row r="65" spans="2:6" ht="19.899999999999999" customHeight="1" x14ac:dyDescent="0.25">
      <c r="B65" s="375" t="s">
        <v>292</v>
      </c>
      <c r="C65" s="618"/>
      <c r="D65" s="477">
        <v>43000</v>
      </c>
      <c r="E65" s="477">
        <v>17000</v>
      </c>
      <c r="F65" s="477">
        <f t="shared" si="0"/>
        <v>60000</v>
      </c>
    </row>
    <row r="66" spans="2:6" ht="19.899999999999999" customHeight="1" x14ac:dyDescent="0.25">
      <c r="B66" s="375" t="s">
        <v>271</v>
      </c>
      <c r="C66" s="618"/>
      <c r="D66" s="477">
        <v>30000</v>
      </c>
      <c r="E66" s="477">
        <v>4000</v>
      </c>
      <c r="F66" s="477">
        <f t="shared" si="0"/>
        <v>34000</v>
      </c>
    </row>
    <row r="67" spans="2:6" ht="19.899999999999999" customHeight="1" x14ac:dyDescent="0.25">
      <c r="B67" s="375" t="s">
        <v>287</v>
      </c>
      <c r="C67" s="612">
        <v>45444</v>
      </c>
      <c r="D67" s="477">
        <v>50000</v>
      </c>
      <c r="E67" s="477">
        <v>5000</v>
      </c>
      <c r="F67" s="477">
        <f t="shared" si="0"/>
        <v>55000</v>
      </c>
    </row>
    <row r="68" spans="2:6" ht="19.899999999999999" customHeight="1" x14ac:dyDescent="0.25">
      <c r="B68" s="375" t="s">
        <v>293</v>
      </c>
      <c r="C68" s="613"/>
      <c r="D68" s="477">
        <v>27000</v>
      </c>
      <c r="E68" s="477">
        <v>4000</v>
      </c>
      <c r="F68" s="477">
        <f t="shared" si="0"/>
        <v>31000</v>
      </c>
    </row>
    <row r="69" spans="2:6" ht="19.899999999999999" customHeight="1" x14ac:dyDescent="0.25">
      <c r="B69" s="375" t="s">
        <v>279</v>
      </c>
      <c r="C69" s="613"/>
      <c r="D69" s="477">
        <v>35000</v>
      </c>
      <c r="E69" s="477">
        <v>5000</v>
      </c>
      <c r="F69" s="477">
        <f t="shared" si="0"/>
        <v>40000</v>
      </c>
    </row>
    <row r="70" spans="2:6" ht="19.899999999999999" customHeight="1" x14ac:dyDescent="0.25">
      <c r="B70" s="375" t="s">
        <v>142</v>
      </c>
      <c r="C70" s="613"/>
      <c r="D70" s="477">
        <v>50000</v>
      </c>
      <c r="E70" s="477">
        <v>5000</v>
      </c>
      <c r="F70" s="477">
        <f t="shared" si="0"/>
        <v>55000</v>
      </c>
    </row>
    <row r="71" spans="2:6" ht="19.899999999999999" customHeight="1" x14ac:dyDescent="0.25">
      <c r="B71" s="377" t="s">
        <v>294</v>
      </c>
      <c r="C71" s="613"/>
      <c r="D71" s="477">
        <v>47000</v>
      </c>
      <c r="E71" s="477">
        <v>5000</v>
      </c>
      <c r="F71" s="477">
        <f t="shared" si="0"/>
        <v>52000</v>
      </c>
    </row>
    <row r="72" spans="2:6" ht="19.899999999999999" customHeight="1" x14ac:dyDescent="0.25">
      <c r="B72" s="377" t="s">
        <v>268</v>
      </c>
      <c r="C72" s="613"/>
      <c r="D72" s="477">
        <v>26500</v>
      </c>
      <c r="E72" s="477">
        <v>3500</v>
      </c>
      <c r="F72" s="477">
        <f t="shared" si="0"/>
        <v>30000</v>
      </c>
    </row>
    <row r="73" spans="2:6" ht="19.899999999999999" customHeight="1" x14ac:dyDescent="0.25">
      <c r="B73" s="377" t="s">
        <v>269</v>
      </c>
      <c r="C73" s="613"/>
      <c r="D73" s="477">
        <v>26500</v>
      </c>
      <c r="E73" s="477">
        <v>3500</v>
      </c>
      <c r="F73" s="477">
        <f t="shared" si="0"/>
        <v>30000</v>
      </c>
    </row>
    <row r="74" spans="2:6" ht="19.899999999999999" customHeight="1" x14ac:dyDescent="0.25">
      <c r="B74" s="377" t="s">
        <v>267</v>
      </c>
      <c r="C74" s="614"/>
      <c r="D74" s="477">
        <v>31500</v>
      </c>
      <c r="E74" s="477">
        <v>3000</v>
      </c>
      <c r="F74" s="477">
        <f t="shared" si="0"/>
        <v>34500</v>
      </c>
    </row>
    <row r="75" spans="2:6" ht="19.899999999999999" customHeight="1" x14ac:dyDescent="0.25">
      <c r="B75" s="377" t="s">
        <v>305</v>
      </c>
      <c r="C75" s="611">
        <v>45497</v>
      </c>
      <c r="D75" s="477">
        <v>25000</v>
      </c>
      <c r="E75" s="477">
        <v>3000</v>
      </c>
      <c r="F75" s="477">
        <f t="shared" si="0"/>
        <v>28000</v>
      </c>
    </row>
    <row r="76" spans="2:6" ht="19.899999999999999" customHeight="1" x14ac:dyDescent="0.25">
      <c r="B76" s="377" t="s">
        <v>184</v>
      </c>
      <c r="C76" s="611"/>
      <c r="D76" s="477">
        <v>29500</v>
      </c>
      <c r="E76" s="477">
        <v>2000</v>
      </c>
      <c r="F76" s="477">
        <f t="shared" si="0"/>
        <v>31500</v>
      </c>
    </row>
    <row r="77" spans="2:6" ht="19.899999999999999" customHeight="1" x14ac:dyDescent="0.25">
      <c r="B77" s="377" t="s">
        <v>308</v>
      </c>
      <c r="C77" s="611"/>
      <c r="D77" s="477">
        <v>80000</v>
      </c>
      <c r="E77" s="477">
        <v>10000</v>
      </c>
      <c r="F77" s="477">
        <f t="shared" si="0"/>
        <v>90000</v>
      </c>
    </row>
    <row r="78" spans="2:6" ht="19.899999999999999" customHeight="1" x14ac:dyDescent="0.25">
      <c r="B78" s="377" t="s">
        <v>264</v>
      </c>
      <c r="C78" s="611"/>
      <c r="D78" s="477">
        <v>26000</v>
      </c>
      <c r="E78" s="477">
        <v>4000</v>
      </c>
      <c r="F78" s="477">
        <f t="shared" si="0"/>
        <v>30000</v>
      </c>
    </row>
    <row r="79" spans="2:6" ht="20.45" customHeight="1" x14ac:dyDescent="0.25">
      <c r="B79" s="377" t="s">
        <v>310</v>
      </c>
      <c r="C79" s="610">
        <v>45505</v>
      </c>
      <c r="D79" s="477">
        <v>25000</v>
      </c>
      <c r="E79" s="477">
        <v>3000</v>
      </c>
      <c r="F79" s="477">
        <f t="shared" si="0"/>
        <v>28000</v>
      </c>
    </row>
    <row r="80" spans="2:6" ht="20.45" customHeight="1" x14ac:dyDescent="0.25">
      <c r="B80" s="377" t="s">
        <v>214</v>
      </c>
      <c r="C80" s="610"/>
      <c r="D80" s="477">
        <v>32000</v>
      </c>
      <c r="E80" s="477">
        <v>3000</v>
      </c>
      <c r="F80" s="477">
        <f t="shared" si="0"/>
        <v>35000</v>
      </c>
    </row>
    <row r="81" spans="2:6" ht="20.45" customHeight="1" x14ac:dyDescent="0.25">
      <c r="B81" s="377" t="s">
        <v>297</v>
      </c>
      <c r="C81" s="610"/>
      <c r="D81" s="477">
        <v>32000</v>
      </c>
      <c r="E81" s="477">
        <v>3000</v>
      </c>
      <c r="F81" s="477">
        <f t="shared" si="0"/>
        <v>35000</v>
      </c>
    </row>
    <row r="82" spans="2:6" ht="20.45" customHeight="1" x14ac:dyDescent="0.25">
      <c r="B82" s="377" t="s">
        <v>341</v>
      </c>
      <c r="C82" s="610">
        <v>45536</v>
      </c>
      <c r="D82" s="491">
        <v>35000</v>
      </c>
      <c r="E82" s="491">
        <v>2500</v>
      </c>
      <c r="F82" s="491">
        <f t="shared" ref="F82:F88" si="1">E82+D82</f>
        <v>37500</v>
      </c>
    </row>
    <row r="83" spans="2:6" ht="20.45" customHeight="1" x14ac:dyDescent="0.25">
      <c r="B83" s="377" t="s">
        <v>342</v>
      </c>
      <c r="C83" s="610"/>
      <c r="D83" s="491">
        <v>27000</v>
      </c>
      <c r="E83" s="491">
        <v>3000</v>
      </c>
      <c r="F83" s="491">
        <f t="shared" si="1"/>
        <v>30000</v>
      </c>
    </row>
    <row r="84" spans="2:6" ht="20.45" customHeight="1" x14ac:dyDescent="0.25">
      <c r="B84" s="377" t="s">
        <v>343</v>
      </c>
      <c r="C84" s="610"/>
      <c r="D84" s="491">
        <v>30000</v>
      </c>
      <c r="E84" s="491">
        <v>2500</v>
      </c>
      <c r="F84" s="491">
        <f t="shared" si="1"/>
        <v>32500</v>
      </c>
    </row>
    <row r="85" spans="2:6" ht="20.45" customHeight="1" x14ac:dyDescent="0.25">
      <c r="B85" s="377" t="s">
        <v>344</v>
      </c>
      <c r="C85" s="610"/>
      <c r="D85" s="491">
        <v>25000</v>
      </c>
      <c r="E85" s="491">
        <v>2000</v>
      </c>
      <c r="F85" s="491">
        <f t="shared" si="1"/>
        <v>27000</v>
      </c>
    </row>
    <row r="86" spans="2:6" ht="20.45" customHeight="1" x14ac:dyDescent="0.25">
      <c r="B86" s="377" t="s">
        <v>345</v>
      </c>
      <c r="C86" s="610"/>
      <c r="D86" s="491">
        <v>25000</v>
      </c>
      <c r="E86" s="491">
        <v>2000</v>
      </c>
      <c r="F86" s="491">
        <f t="shared" si="1"/>
        <v>27000</v>
      </c>
    </row>
    <row r="87" spans="2:6" ht="20.45" customHeight="1" x14ac:dyDescent="0.25">
      <c r="B87" s="377" t="s">
        <v>346</v>
      </c>
      <c r="C87" s="610"/>
      <c r="D87" s="491">
        <v>35000</v>
      </c>
      <c r="E87" s="491">
        <v>2000</v>
      </c>
      <c r="F87" s="491">
        <f t="shared" si="1"/>
        <v>37000</v>
      </c>
    </row>
    <row r="88" spans="2:6" ht="20.45" customHeight="1" x14ac:dyDescent="0.25">
      <c r="B88" s="377" t="s">
        <v>295</v>
      </c>
      <c r="C88" s="610"/>
      <c r="D88" s="491">
        <v>35000</v>
      </c>
      <c r="E88" s="491">
        <v>3000</v>
      </c>
      <c r="F88" s="491">
        <f t="shared" si="1"/>
        <v>38000</v>
      </c>
    </row>
    <row r="89" spans="2:6" ht="20.45" customHeight="1" x14ac:dyDescent="0.2">
      <c r="B89" s="278"/>
      <c r="C89" s="278"/>
      <c r="D89" s="480"/>
      <c r="E89" s="480"/>
      <c r="F89" s="480"/>
    </row>
    <row r="90" spans="2:6" ht="20.45" customHeight="1" x14ac:dyDescent="0.2">
      <c r="D90" s="376"/>
      <c r="E90" s="376"/>
      <c r="F90" s="376"/>
    </row>
    <row r="91" spans="2:6" ht="20.45" customHeight="1" x14ac:dyDescent="0.2">
      <c r="D91" s="376"/>
      <c r="E91" s="376"/>
      <c r="F91" s="376"/>
    </row>
    <row r="92" spans="2:6" ht="20.45" customHeight="1" x14ac:dyDescent="0.2">
      <c r="D92" s="376"/>
      <c r="E92" s="376"/>
      <c r="F92" s="376"/>
    </row>
    <row r="93" spans="2:6" ht="20.45" customHeight="1" x14ac:dyDescent="0.2">
      <c r="D93" s="376"/>
      <c r="E93" s="376"/>
      <c r="F93" s="376"/>
    </row>
    <row r="94" spans="2:6" ht="20.45" customHeight="1" x14ac:dyDescent="0.2">
      <c r="D94" s="376"/>
      <c r="E94" s="376"/>
      <c r="F94" s="376"/>
    </row>
    <row r="95" spans="2:6" ht="20.45" customHeight="1" x14ac:dyDescent="0.2">
      <c r="D95" s="376"/>
      <c r="E95" s="376"/>
      <c r="F95" s="376"/>
    </row>
    <row r="96" spans="2:6" ht="20.45" customHeight="1" x14ac:dyDescent="0.2">
      <c r="D96" s="376"/>
      <c r="E96" s="376"/>
      <c r="F96" s="376"/>
    </row>
    <row r="97" spans="4:6" ht="20.45" customHeight="1" x14ac:dyDescent="0.2">
      <c r="D97" s="376"/>
      <c r="E97" s="376"/>
      <c r="F97" s="376"/>
    </row>
    <row r="98" spans="4:6" ht="12.75" customHeight="1" x14ac:dyDescent="0.2">
      <c r="D98" s="376"/>
      <c r="E98" s="376"/>
      <c r="F98" s="376"/>
    </row>
    <row r="99" spans="4:6" ht="12.75" customHeight="1" x14ac:dyDescent="0.2">
      <c r="D99" s="376"/>
      <c r="E99" s="376"/>
      <c r="F99" s="376"/>
    </row>
    <row r="100" spans="4:6" ht="12.75" customHeight="1" x14ac:dyDescent="0.2">
      <c r="D100" s="376"/>
      <c r="E100" s="376"/>
      <c r="F100" s="376"/>
    </row>
    <row r="101" spans="4:6" ht="12.75" customHeight="1" x14ac:dyDescent="0.2">
      <c r="D101" s="376"/>
      <c r="E101" s="376"/>
      <c r="F101" s="376"/>
    </row>
    <row r="102" spans="4:6" ht="12.75" customHeight="1" x14ac:dyDescent="0.2">
      <c r="D102" s="376"/>
      <c r="E102" s="376"/>
      <c r="F102" s="376"/>
    </row>
    <row r="103" spans="4:6" ht="12.75" customHeight="1" x14ac:dyDescent="0.2">
      <c r="D103" s="376"/>
      <c r="E103" s="376"/>
      <c r="F103" s="376"/>
    </row>
    <row r="104" spans="4:6" ht="12.75" customHeight="1" x14ac:dyDescent="0.2">
      <c r="D104" s="376"/>
      <c r="E104" s="376"/>
      <c r="F104" s="376"/>
    </row>
    <row r="105" spans="4:6" ht="12.75" customHeight="1" x14ac:dyDescent="0.2">
      <c r="D105" s="376"/>
      <c r="E105" s="376"/>
      <c r="F105" s="376"/>
    </row>
    <row r="106" spans="4:6" ht="12.75" customHeight="1" x14ac:dyDescent="0.2">
      <c r="D106" s="376"/>
      <c r="E106" s="376"/>
      <c r="F106" s="376"/>
    </row>
    <row r="107" spans="4:6" ht="12.75" customHeight="1" x14ac:dyDescent="0.2">
      <c r="D107" s="376"/>
      <c r="E107" s="376"/>
      <c r="F107" s="376"/>
    </row>
    <row r="108" spans="4:6" ht="12.75" customHeight="1" x14ac:dyDescent="0.2">
      <c r="D108" s="376"/>
      <c r="E108" s="376"/>
      <c r="F108" s="376"/>
    </row>
    <row r="109" spans="4:6" ht="12.75" customHeight="1" x14ac:dyDescent="0.2">
      <c r="D109" s="376"/>
      <c r="E109" s="376"/>
      <c r="F109" s="376"/>
    </row>
    <row r="110" spans="4:6" ht="12.75" customHeight="1" x14ac:dyDescent="0.2">
      <c r="D110" s="376"/>
      <c r="E110" s="376"/>
      <c r="F110" s="376"/>
    </row>
    <row r="111" spans="4:6" ht="12.75" customHeight="1" x14ac:dyDescent="0.2">
      <c r="D111" s="376"/>
      <c r="E111" s="376"/>
      <c r="F111" s="376"/>
    </row>
    <row r="112" spans="4:6" ht="12.75" customHeight="1" x14ac:dyDescent="0.2">
      <c r="D112" s="376"/>
      <c r="E112" s="376"/>
      <c r="F112" s="376"/>
    </row>
    <row r="113" spans="4:6" ht="12.75" customHeight="1" x14ac:dyDescent="0.2">
      <c r="D113" s="376"/>
      <c r="E113" s="376"/>
      <c r="F113" s="376"/>
    </row>
    <row r="114" spans="4:6" ht="12.75" customHeight="1" x14ac:dyDescent="0.2">
      <c r="D114" s="376"/>
      <c r="E114" s="376"/>
      <c r="F114" s="376"/>
    </row>
    <row r="115" spans="4:6" ht="12.75" customHeight="1" x14ac:dyDescent="0.2">
      <c r="D115" s="376"/>
      <c r="E115" s="376"/>
      <c r="F115" s="376"/>
    </row>
    <row r="116" spans="4:6" ht="12.75" customHeight="1" x14ac:dyDescent="0.2">
      <c r="D116" s="376"/>
      <c r="E116" s="376"/>
      <c r="F116" s="376"/>
    </row>
    <row r="117" spans="4:6" ht="12.75" customHeight="1" x14ac:dyDescent="0.2">
      <c r="D117" s="376"/>
      <c r="E117" s="376"/>
      <c r="F117" s="376"/>
    </row>
    <row r="118" spans="4:6" ht="12.75" customHeight="1" x14ac:dyDescent="0.2">
      <c r="D118" s="376"/>
      <c r="E118" s="376"/>
      <c r="F118" s="376"/>
    </row>
    <row r="119" spans="4:6" ht="12.75" customHeight="1" x14ac:dyDescent="0.2">
      <c r="D119" s="376"/>
      <c r="E119" s="376"/>
      <c r="F119" s="376"/>
    </row>
    <row r="120" spans="4:6" ht="12.75" customHeight="1" x14ac:dyDescent="0.2">
      <c r="D120" s="376"/>
      <c r="E120" s="376"/>
      <c r="F120" s="376"/>
    </row>
    <row r="121" spans="4:6" ht="12.75" customHeight="1" x14ac:dyDescent="0.2">
      <c r="D121" s="376"/>
      <c r="E121" s="376"/>
      <c r="F121" s="376"/>
    </row>
    <row r="122" spans="4:6" ht="12.75" customHeight="1" x14ac:dyDescent="0.2">
      <c r="D122" s="376"/>
      <c r="E122" s="376"/>
      <c r="F122" s="376"/>
    </row>
    <row r="123" spans="4:6" ht="12.75" customHeight="1" x14ac:dyDescent="0.2">
      <c r="D123" s="376"/>
      <c r="E123" s="376"/>
      <c r="F123" s="376"/>
    </row>
    <row r="124" spans="4:6" ht="12.75" customHeight="1" x14ac:dyDescent="0.2">
      <c r="D124" s="376"/>
      <c r="E124" s="376"/>
      <c r="F124" s="376"/>
    </row>
    <row r="125" spans="4:6" ht="12.75" customHeight="1" x14ac:dyDescent="0.2">
      <c r="D125" s="376"/>
      <c r="E125" s="376"/>
      <c r="F125" s="376"/>
    </row>
    <row r="126" spans="4:6" ht="12.75" customHeight="1" x14ac:dyDescent="0.2">
      <c r="D126" s="376"/>
      <c r="E126" s="376"/>
      <c r="F126" s="376"/>
    </row>
    <row r="127" spans="4:6" ht="12.75" customHeight="1" x14ac:dyDescent="0.2">
      <c r="D127" s="376"/>
      <c r="E127" s="376"/>
      <c r="F127" s="376"/>
    </row>
    <row r="128" spans="4:6" ht="12.75" customHeight="1" x14ac:dyDescent="0.2">
      <c r="D128" s="376"/>
      <c r="E128" s="376"/>
      <c r="F128" s="376"/>
    </row>
    <row r="129" spans="4:6" ht="12.75" customHeight="1" x14ac:dyDescent="0.2">
      <c r="D129" s="376"/>
      <c r="E129" s="376"/>
      <c r="F129" s="376"/>
    </row>
    <row r="130" spans="4:6" ht="12.75" customHeight="1" x14ac:dyDescent="0.2">
      <c r="D130" s="376"/>
      <c r="E130" s="376"/>
      <c r="F130" s="376"/>
    </row>
    <row r="131" spans="4:6" ht="12.75" customHeight="1" x14ac:dyDescent="0.2">
      <c r="D131" s="376"/>
      <c r="E131" s="376"/>
      <c r="F131" s="376"/>
    </row>
    <row r="132" spans="4:6" ht="12.75" customHeight="1" x14ac:dyDescent="0.2">
      <c r="D132" s="376"/>
      <c r="E132" s="376"/>
      <c r="F132" s="376"/>
    </row>
    <row r="133" spans="4:6" ht="12.75" customHeight="1" x14ac:dyDescent="0.2">
      <c r="D133" s="376"/>
      <c r="E133" s="376"/>
      <c r="F133" s="376"/>
    </row>
    <row r="134" spans="4:6" ht="12.75" customHeight="1" x14ac:dyDescent="0.2">
      <c r="D134" s="376"/>
      <c r="E134" s="376"/>
      <c r="F134" s="376"/>
    </row>
    <row r="135" spans="4:6" ht="12.75" customHeight="1" x14ac:dyDescent="0.2">
      <c r="D135" s="376"/>
      <c r="E135" s="376"/>
      <c r="F135" s="376"/>
    </row>
    <row r="136" spans="4:6" ht="12.75" customHeight="1" x14ac:dyDescent="0.2">
      <c r="D136" s="376"/>
      <c r="E136" s="376"/>
      <c r="F136" s="376"/>
    </row>
    <row r="137" spans="4:6" ht="12.75" customHeight="1" x14ac:dyDescent="0.2">
      <c r="D137" s="376"/>
      <c r="E137" s="376"/>
      <c r="F137" s="376"/>
    </row>
    <row r="138" spans="4:6" ht="12.75" customHeight="1" x14ac:dyDescent="0.2">
      <c r="D138" s="376"/>
      <c r="E138" s="376"/>
      <c r="F138" s="376"/>
    </row>
    <row r="139" spans="4:6" ht="12.75" customHeight="1" x14ac:dyDescent="0.2"/>
    <row r="140" spans="4:6" ht="12.75" customHeight="1" x14ac:dyDescent="0.2"/>
    <row r="141" spans="4:6" ht="12.75" customHeight="1" x14ac:dyDescent="0.2"/>
    <row r="142" spans="4:6" ht="12.75" customHeight="1" x14ac:dyDescent="0.2"/>
    <row r="143" spans="4:6" ht="12.75" customHeight="1" x14ac:dyDescent="0.2"/>
    <row r="144" spans="4:6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</sheetData>
  <autoFilter ref="B3:F3" xr:uid="{00000000-0009-0000-0000-000003000000}"/>
  <mergeCells count="18">
    <mergeCell ref="C82:C88"/>
    <mergeCell ref="C49:C52"/>
    <mergeCell ref="C53:C55"/>
    <mergeCell ref="C24:C27"/>
    <mergeCell ref="C28:C31"/>
    <mergeCell ref="C32:C41"/>
    <mergeCell ref="C42:C43"/>
    <mergeCell ref="C44:C48"/>
    <mergeCell ref="C79:C81"/>
    <mergeCell ref="C75:C78"/>
    <mergeCell ref="C67:C74"/>
    <mergeCell ref="C56:C59"/>
    <mergeCell ref="C60:C66"/>
    <mergeCell ref="B2:F2"/>
    <mergeCell ref="C4:C7"/>
    <mergeCell ref="C8:C15"/>
    <mergeCell ref="C16:C19"/>
    <mergeCell ref="C20:C22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7BAC-4508-4401-B4C0-AAE7B26D3B89}">
  <dimension ref="E5:G13"/>
  <sheetViews>
    <sheetView workbookViewId="0">
      <selection activeCell="F17" sqref="F17"/>
    </sheetView>
  </sheetViews>
  <sheetFormatPr defaultRowHeight="12.75" x14ac:dyDescent="0.2"/>
  <cols>
    <col min="6" max="6" width="20.7109375" customWidth="1"/>
    <col min="7" max="7" width="18.5703125" customWidth="1"/>
  </cols>
  <sheetData>
    <row r="5" spans="5:7" x14ac:dyDescent="0.2">
      <c r="E5" s="619" t="s">
        <v>329</v>
      </c>
      <c r="F5" s="619"/>
      <c r="G5" s="619"/>
    </row>
    <row r="6" spans="5:7" x14ac:dyDescent="0.2">
      <c r="E6" s="619"/>
      <c r="F6" s="619"/>
      <c r="G6" s="619"/>
    </row>
    <row r="7" spans="5:7" ht="15.75" x14ac:dyDescent="0.25">
      <c r="E7" s="481" t="s">
        <v>330</v>
      </c>
      <c r="F7" s="481" t="s">
        <v>99</v>
      </c>
      <c r="G7" s="481" t="s">
        <v>97</v>
      </c>
    </row>
    <row r="8" spans="5:7" ht="15" x14ac:dyDescent="0.2">
      <c r="E8" s="485">
        <v>1</v>
      </c>
      <c r="F8" s="482" t="s">
        <v>219</v>
      </c>
      <c r="G8" s="483">
        <v>70000</v>
      </c>
    </row>
    <row r="9" spans="5:7" ht="15" x14ac:dyDescent="0.2">
      <c r="E9" s="485">
        <v>2</v>
      </c>
      <c r="F9" s="482" t="s">
        <v>296</v>
      </c>
      <c r="G9" s="483">
        <v>35000</v>
      </c>
    </row>
    <row r="10" spans="5:7" ht="15" x14ac:dyDescent="0.2">
      <c r="E10" s="485">
        <v>3</v>
      </c>
      <c r="F10" s="482" t="s">
        <v>301</v>
      </c>
      <c r="G10" s="483">
        <v>10500</v>
      </c>
    </row>
    <row r="11" spans="5:7" ht="15" x14ac:dyDescent="0.2">
      <c r="E11" s="485">
        <v>4</v>
      </c>
      <c r="F11" s="482" t="s">
        <v>302</v>
      </c>
      <c r="G11" s="483">
        <v>10500</v>
      </c>
    </row>
    <row r="12" spans="5:7" ht="15" x14ac:dyDescent="0.2">
      <c r="E12" s="485">
        <v>5</v>
      </c>
      <c r="F12" s="482" t="s">
        <v>300</v>
      </c>
      <c r="G12" s="483">
        <v>40000</v>
      </c>
    </row>
    <row r="13" spans="5:7" ht="15.75" x14ac:dyDescent="0.25">
      <c r="E13" s="482"/>
      <c r="F13" s="481" t="s">
        <v>23</v>
      </c>
      <c r="G13" s="484">
        <f>SUM(G8:G12)</f>
        <v>166000</v>
      </c>
    </row>
  </sheetData>
  <mergeCells count="1">
    <mergeCell ref="E5:G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Salary Sheets</vt:lpstr>
      <vt:lpstr>Salary Record</vt:lpstr>
      <vt:lpstr>Staff Attendance</vt:lpstr>
      <vt:lpstr>Salary summary</vt:lpstr>
      <vt:lpstr>Salary increment</vt:lpstr>
      <vt:lpstr>Sheet1</vt:lpstr>
      <vt:lpstr>'Salary Record'!Print_Area</vt:lpstr>
      <vt:lpstr>'Salary Sheets'!Print_Area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2024-10-14T12:29:05Z</cp:lastPrinted>
  <dcterms:created xsi:type="dcterms:W3CDTF">2007-01-04T05:01:09Z</dcterms:created>
  <dcterms:modified xsi:type="dcterms:W3CDTF">2024-10-14T12:29:08Z</dcterms:modified>
</cp:coreProperties>
</file>